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F:\Fernando-Inv\Pacheco 2026\Artigo TCC Teresa_EESUS\2ªVEZ\"/>
    </mc:Choice>
  </mc:AlternateContent>
  <xr:revisionPtr revIDLastSave="0" documentId="13_ncr:1_{553FAD25-F7EB-4A62-B75B-9A3AE0721BE1}" xr6:coauthVersionLast="47" xr6:coauthVersionMax="47" xr10:uidLastSave="{00000000-0000-0000-0000-000000000000}"/>
  <bookViews>
    <workbookView xWindow="-90" yWindow="-90" windowWidth="19380" windowHeight="10260" firstSheet="9" activeTab="11" xr2:uid="{00000000-000D-0000-FFFF-FFFF00000000}"/>
  </bookViews>
  <sheets>
    <sheet name="CUP" sheetId="1" r:id="rId1"/>
    <sheet name="Recharge_Springs" sheetId="2" r:id="rId2"/>
    <sheet name="Q710" sheetId="3" r:id="rId3"/>
    <sheet name="SOC" sheetId="4" r:id="rId4"/>
    <sheet name="LULC_Biodiversity" sheetId="5" r:id="rId5"/>
    <sheet name="ES" sheetId="6" r:id="rId6"/>
    <sheet name="MEAN ANALYSIS" sheetId="7" r:id="rId7"/>
    <sheet name="Sensitivity Analysis_Recharge" sheetId="8" r:id="rId8"/>
    <sheet name="Sensitivity Analysis_Q7_10" sheetId="9" r:id="rId9"/>
    <sheet name="Sensitivity Analysis_SOC" sheetId="10" r:id="rId10"/>
    <sheet name="Sensitivity Analysis_Land Use" sheetId="11" r:id="rId11"/>
    <sheet name="Sensitivity_Analysis_Summary" sheetId="12" r:id="rId12"/>
    <sheet name="Sensitivity Analysis_Transposed" sheetId="13" r:id="rId13"/>
  </sheets>
  <definedNames>
    <definedName name="__xlchart.v1.0" hidden="1">'MEAN ANALYSIS'!$N$2:$N$26</definedName>
    <definedName name="__xlchart.v1.1" hidden="1">'MEAN ANALYSIS'!$O$2:$O$26</definedName>
  </definedNames>
  <calcPr calcId="191029"/>
</workbook>
</file>

<file path=xl/calcChain.xml><?xml version="1.0" encoding="utf-8"?>
<calcChain xmlns="http://schemas.openxmlformats.org/spreadsheetml/2006/main">
  <c r="E14" i="13" l="1"/>
  <c r="E15" i="13" s="1"/>
  <c r="D14" i="13"/>
  <c r="D15" i="13" s="1"/>
  <c r="C14" i="13"/>
  <c r="C15" i="13" s="1"/>
  <c r="B14" i="13"/>
  <c r="B15" i="13" s="1"/>
  <c r="E13" i="13"/>
  <c r="D13" i="13"/>
  <c r="C13" i="13"/>
  <c r="B13" i="13"/>
  <c r="H12" i="13"/>
  <c r="G12" i="13"/>
  <c r="F12" i="13"/>
  <c r="G11" i="13"/>
  <c r="H11" i="13" s="1"/>
  <c r="F11" i="13"/>
  <c r="G10" i="13"/>
  <c r="H10" i="13" s="1"/>
  <c r="F10" i="13"/>
  <c r="G9" i="13"/>
  <c r="H9" i="13" s="1"/>
  <c r="F9" i="13"/>
  <c r="G8" i="13"/>
  <c r="F8" i="13"/>
  <c r="H8" i="13" s="1"/>
  <c r="H7" i="13"/>
  <c r="G7" i="13"/>
  <c r="F7" i="13"/>
  <c r="H6" i="13"/>
  <c r="G6" i="13"/>
  <c r="F6" i="13"/>
  <c r="H5" i="13"/>
  <c r="G5" i="13"/>
  <c r="F5" i="13"/>
  <c r="G4" i="13"/>
  <c r="F4" i="13"/>
  <c r="H4" i="13" s="1"/>
  <c r="H3" i="13"/>
  <c r="G3" i="13"/>
  <c r="F3" i="13"/>
  <c r="H2" i="13"/>
  <c r="G2" i="13"/>
  <c r="F2" i="13"/>
  <c r="C8" i="12"/>
  <c r="D8" i="12"/>
  <c r="E8" i="12"/>
  <c r="F8" i="12"/>
  <c r="G8" i="12"/>
  <c r="H8" i="12"/>
  <c r="I8" i="12"/>
  <c r="J8" i="12"/>
  <c r="K8" i="12"/>
  <c r="L8" i="12"/>
  <c r="B8" i="12"/>
  <c r="C6" i="12"/>
  <c r="D6" i="12"/>
  <c r="E6" i="12"/>
  <c r="F6" i="12"/>
  <c r="G6" i="12"/>
  <c r="H6" i="12"/>
  <c r="I6" i="12"/>
  <c r="J6" i="12"/>
  <c r="K6" i="12"/>
  <c r="L6" i="12"/>
  <c r="C7" i="12"/>
  <c r="D7" i="12"/>
  <c r="E7" i="12"/>
  <c r="F7" i="12"/>
  <c r="G7" i="12"/>
  <c r="H7" i="12"/>
  <c r="I7" i="12"/>
  <c r="J7" i="12"/>
  <c r="K7" i="12"/>
  <c r="L7" i="12"/>
  <c r="B7" i="12"/>
  <c r="B6" i="12"/>
  <c r="M3" i="12"/>
  <c r="N3" i="12"/>
  <c r="O3" i="12"/>
  <c r="M4" i="12"/>
  <c r="N4" i="12"/>
  <c r="O4" i="12" s="1"/>
  <c r="M5" i="12"/>
  <c r="N5" i="12"/>
  <c r="O5" i="12" s="1"/>
  <c r="O2" i="12"/>
  <c r="N2" i="12"/>
  <c r="M2" i="12"/>
  <c r="J12" i="8"/>
  <c r="G2" i="8"/>
  <c r="O2" i="7"/>
  <c r="K2" i="7"/>
  <c r="L2" i="7"/>
  <c r="W2" i="11"/>
  <c r="Z11" i="11"/>
  <c r="AB11" i="11"/>
  <c r="AD11" i="11"/>
  <c r="AF11" i="11"/>
  <c r="AH11" i="11"/>
  <c r="AJ11" i="11"/>
  <c r="AL11" i="11"/>
  <c r="AN11" i="11"/>
  <c r="AP11" i="11"/>
  <c r="AR11" i="11"/>
  <c r="X11" i="11"/>
  <c r="Z10" i="11"/>
  <c r="AB10" i="11"/>
  <c r="AD10" i="11"/>
  <c r="AF10" i="11"/>
  <c r="AH10" i="11"/>
  <c r="AJ10" i="11"/>
  <c r="AL10" i="11"/>
  <c r="AN10" i="11"/>
  <c r="AP10" i="11"/>
  <c r="AR10" i="11"/>
  <c r="X10" i="11"/>
  <c r="AI12" i="11"/>
  <c r="AG12" i="11"/>
  <c r="W12" i="11"/>
  <c r="U12" i="11"/>
  <c r="T12" i="11"/>
  <c r="F6" i="11" s="1"/>
  <c r="T10" i="11"/>
  <c r="AR9" i="11"/>
  <c r="AP9" i="11"/>
  <c r="AN9" i="11"/>
  <c r="AL9" i="11"/>
  <c r="AJ9" i="11"/>
  <c r="AH9" i="11"/>
  <c r="AF9" i="11"/>
  <c r="AD9" i="11"/>
  <c r="AB9" i="11"/>
  <c r="Z9" i="11"/>
  <c r="X9" i="11"/>
  <c r="T9" i="11"/>
  <c r="AR8" i="11"/>
  <c r="AP8" i="11"/>
  <c r="AN8" i="11"/>
  <c r="AL8" i="11"/>
  <c r="AJ8" i="11"/>
  <c r="AH8" i="11"/>
  <c r="AF8" i="11"/>
  <c r="AD8" i="11"/>
  <c r="AB8" i="11"/>
  <c r="Z8" i="11"/>
  <c r="X8" i="11"/>
  <c r="T8" i="11"/>
  <c r="U7" i="11"/>
  <c r="T7" i="11"/>
  <c r="U6" i="11"/>
  <c r="U5" i="11"/>
  <c r="U4" i="11"/>
  <c r="U3" i="11"/>
  <c r="AQ2" i="11"/>
  <c r="AQ12" i="11" s="1"/>
  <c r="AP2" i="11"/>
  <c r="AO2" i="11"/>
  <c r="AO12" i="11" s="1"/>
  <c r="AM2" i="11"/>
  <c r="AM12" i="11" s="1"/>
  <c r="AL2" i="11"/>
  <c r="AK2" i="11"/>
  <c r="AK12" i="11" s="1"/>
  <c r="AI2" i="11"/>
  <c r="AJ2" i="11" s="1"/>
  <c r="AG2" i="11"/>
  <c r="AH2" i="11" s="1"/>
  <c r="AE2" i="11"/>
  <c r="AE12" i="11" s="1"/>
  <c r="AD2" i="11"/>
  <c r="AC2" i="11"/>
  <c r="AC12" i="11" s="1"/>
  <c r="AA2" i="11"/>
  <c r="AA12" i="11" s="1"/>
  <c r="Z2" i="11"/>
  <c r="Y2" i="11"/>
  <c r="Y12" i="11" s="1"/>
  <c r="X2" i="11"/>
  <c r="H28" i="8"/>
  <c r="I28" i="8"/>
  <c r="J28" i="8"/>
  <c r="K28" i="8"/>
  <c r="L28" i="8"/>
  <c r="M28" i="8"/>
  <c r="N28" i="8"/>
  <c r="O28" i="8"/>
  <c r="P28" i="8"/>
  <c r="Q28" i="8"/>
  <c r="G28" i="8"/>
  <c r="H28" i="9"/>
  <c r="I28" i="9"/>
  <c r="J28" i="9"/>
  <c r="K28" i="9"/>
  <c r="L28" i="9"/>
  <c r="M28" i="9"/>
  <c r="N28" i="9"/>
  <c r="O28" i="9"/>
  <c r="P28" i="9"/>
  <c r="Q28" i="9"/>
  <c r="G28" i="9"/>
  <c r="H28" i="10"/>
  <c r="I28" i="10"/>
  <c r="J28" i="10"/>
  <c r="K28" i="10"/>
  <c r="L28" i="10"/>
  <c r="M28" i="10"/>
  <c r="N28" i="10"/>
  <c r="O28" i="10"/>
  <c r="P28" i="10"/>
  <c r="Q28" i="10"/>
  <c r="G28" i="10"/>
  <c r="Z10" i="10"/>
  <c r="AB10" i="10"/>
  <c r="AD10" i="10"/>
  <c r="AF10" i="10"/>
  <c r="AH10" i="10"/>
  <c r="AJ10" i="10"/>
  <c r="AL10" i="10"/>
  <c r="AN10" i="10"/>
  <c r="AP10" i="10"/>
  <c r="AR10" i="10"/>
  <c r="Z9" i="10"/>
  <c r="AB9" i="10"/>
  <c r="AD9" i="10"/>
  <c r="AF9" i="10"/>
  <c r="AH9" i="10"/>
  <c r="AJ9" i="10"/>
  <c r="AL9" i="10"/>
  <c r="AN9" i="10"/>
  <c r="AP9" i="10"/>
  <c r="AR9" i="10"/>
  <c r="X11" i="10"/>
  <c r="X10" i="10"/>
  <c r="X9" i="10"/>
  <c r="AK12" i="10"/>
  <c r="AI12" i="10"/>
  <c r="Y12" i="10"/>
  <c r="W12" i="10"/>
  <c r="U12" i="10"/>
  <c r="AR11" i="10"/>
  <c r="AP11" i="10"/>
  <c r="AN11" i="10"/>
  <c r="AL11" i="10"/>
  <c r="AJ11" i="10"/>
  <c r="AH11" i="10"/>
  <c r="AF11" i="10"/>
  <c r="AD11" i="10"/>
  <c r="AB11" i="10"/>
  <c r="Z11" i="10"/>
  <c r="T10" i="10"/>
  <c r="T9" i="10"/>
  <c r="AR8" i="10"/>
  <c r="AP8" i="10"/>
  <c r="AN8" i="10"/>
  <c r="AL8" i="10"/>
  <c r="AJ8" i="10"/>
  <c r="AH8" i="10"/>
  <c r="AF8" i="10"/>
  <c r="AD8" i="10"/>
  <c r="AB8" i="10"/>
  <c r="Z8" i="10"/>
  <c r="X8" i="10"/>
  <c r="T8" i="10"/>
  <c r="T12" i="10" s="1"/>
  <c r="T7" i="10"/>
  <c r="U6" i="10"/>
  <c r="U5" i="10"/>
  <c r="U4" i="10"/>
  <c r="U3" i="10"/>
  <c r="U7" i="10" s="1"/>
  <c r="AQ2" i="10"/>
  <c r="AQ12" i="10" s="1"/>
  <c r="AO2" i="10"/>
  <c r="AO12" i="10" s="1"/>
  <c r="AM2" i="10"/>
  <c r="AM12" i="10" s="1"/>
  <c r="AK2" i="10"/>
  <c r="AL2" i="10" s="1"/>
  <c r="AI2" i="10"/>
  <c r="AJ2" i="10" s="1"/>
  <c r="AG2" i="10"/>
  <c r="AH2" i="10" s="1"/>
  <c r="AE2" i="10"/>
  <c r="AE12" i="10" s="1"/>
  <c r="AC2" i="10"/>
  <c r="AC12" i="10" s="1"/>
  <c r="AA2" i="10"/>
  <c r="AB2" i="10" s="1"/>
  <c r="Y2" i="10"/>
  <c r="Z2" i="10" s="1"/>
  <c r="W2" i="10"/>
  <c r="X2" i="10" s="1"/>
  <c r="X8" i="8"/>
  <c r="Q4" i="9"/>
  <c r="P2" i="9"/>
  <c r="G2" i="9"/>
  <c r="Z9" i="9"/>
  <c r="AB9" i="9"/>
  <c r="AD9" i="9"/>
  <c r="AF9" i="9"/>
  <c r="AH9" i="9"/>
  <c r="AJ9" i="9"/>
  <c r="AL9" i="9"/>
  <c r="AN9" i="9"/>
  <c r="AP9" i="9"/>
  <c r="AR9" i="9"/>
  <c r="X9" i="9"/>
  <c r="X8" i="9"/>
  <c r="Z8" i="9"/>
  <c r="AB8" i="9"/>
  <c r="AD8" i="9"/>
  <c r="AF8" i="9"/>
  <c r="AH8" i="9"/>
  <c r="AJ8" i="9"/>
  <c r="AL8" i="9"/>
  <c r="AN8" i="9"/>
  <c r="AP8" i="9"/>
  <c r="AR8" i="9"/>
  <c r="AQ12" i="9"/>
  <c r="Q26" i="9" s="1"/>
  <c r="AI12" i="9"/>
  <c r="AG12" i="9"/>
  <c r="AE12" i="9"/>
  <c r="W12" i="9"/>
  <c r="G6" i="9" s="1"/>
  <c r="U12" i="9"/>
  <c r="AR11" i="9"/>
  <c r="AP11" i="9"/>
  <c r="AN11" i="9"/>
  <c r="AL11" i="9"/>
  <c r="AJ11" i="9"/>
  <c r="AH11" i="9"/>
  <c r="AF11" i="9"/>
  <c r="AD11" i="9"/>
  <c r="AB11" i="9"/>
  <c r="Z11" i="9"/>
  <c r="X11" i="9"/>
  <c r="AR10" i="9"/>
  <c r="AP10" i="9"/>
  <c r="AN10" i="9"/>
  <c r="AL10" i="9"/>
  <c r="AJ10" i="9"/>
  <c r="AH10" i="9"/>
  <c r="AF10" i="9"/>
  <c r="AD10" i="9"/>
  <c r="AB10" i="9"/>
  <c r="Z10" i="9"/>
  <c r="X10" i="9"/>
  <c r="T10" i="9"/>
  <c r="T9" i="9"/>
  <c r="T8" i="9"/>
  <c r="T12" i="9" s="1"/>
  <c r="T7" i="9"/>
  <c r="U6" i="9"/>
  <c r="U7" i="9" s="1"/>
  <c r="U5" i="9"/>
  <c r="U4" i="9"/>
  <c r="U3" i="9"/>
  <c r="AQ2" i="9"/>
  <c r="AR2" i="9" s="1"/>
  <c r="AO2" i="9"/>
  <c r="AO12" i="9" s="1"/>
  <c r="AM2" i="9"/>
  <c r="AM12" i="9" s="1"/>
  <c r="AL2" i="9"/>
  <c r="AL12" i="9" s="1"/>
  <c r="AK2" i="9"/>
  <c r="AK12" i="9" s="1"/>
  <c r="AJ2" i="9"/>
  <c r="AI2" i="9"/>
  <c r="AH2" i="9"/>
  <c r="AG2" i="9"/>
  <c r="AE2" i="9"/>
  <c r="AF2" i="9" s="1"/>
  <c r="AC2" i="9"/>
  <c r="AC12" i="9" s="1"/>
  <c r="AA2" i="9"/>
  <c r="AB2" i="9" s="1"/>
  <c r="AB12" i="9" s="1"/>
  <c r="Z2" i="9"/>
  <c r="Z12" i="9" s="1"/>
  <c r="Y2" i="9"/>
  <c r="Y12" i="9" s="1"/>
  <c r="X2" i="9"/>
  <c r="W2" i="9"/>
  <c r="AR8" i="8"/>
  <c r="AR9" i="8"/>
  <c r="Q2" i="8"/>
  <c r="AO2" i="8"/>
  <c r="AO12" i="8" s="1"/>
  <c r="AM2" i="8"/>
  <c r="AN2" i="8" s="1"/>
  <c r="AN8" i="8" s="1"/>
  <c r="AK2" i="8"/>
  <c r="AK12" i="8" s="1"/>
  <c r="AI2" i="8"/>
  <c r="AI12" i="8" s="1"/>
  <c r="AN11" i="8"/>
  <c r="AN10" i="8"/>
  <c r="AN9" i="8"/>
  <c r="AQ2" i="8"/>
  <c r="AQ12" i="8" s="1"/>
  <c r="AR11" i="8"/>
  <c r="AR10" i="8"/>
  <c r="AP11" i="8"/>
  <c r="AP10" i="8"/>
  <c r="AP9" i="8"/>
  <c r="AL11" i="8"/>
  <c r="AL10" i="8"/>
  <c r="AL9" i="8"/>
  <c r="AJ11" i="8"/>
  <c r="AJ10" i="8"/>
  <c r="AJ9" i="8"/>
  <c r="AG2" i="8"/>
  <c r="AG12" i="8" s="1"/>
  <c r="AH11" i="8"/>
  <c r="AH10" i="8"/>
  <c r="AH9" i="8"/>
  <c r="AE2" i="8"/>
  <c r="AF11" i="8"/>
  <c r="AF10" i="8"/>
  <c r="AF9" i="8"/>
  <c r="AF2" i="8"/>
  <c r="AF8" i="8" s="1"/>
  <c r="AF12" i="8" s="1"/>
  <c r="AC2" i="8"/>
  <c r="AD2" i="8" s="1"/>
  <c r="AD8" i="8" s="1"/>
  <c r="AD11" i="8"/>
  <c r="AD10" i="8"/>
  <c r="AD9" i="8"/>
  <c r="AA2" i="8"/>
  <c r="AA12" i="8" s="1"/>
  <c r="AB11" i="8"/>
  <c r="AB10" i="8"/>
  <c r="AB9" i="8"/>
  <c r="Y2" i="8"/>
  <c r="Y12" i="8" s="1"/>
  <c r="Z11" i="8"/>
  <c r="Z10" i="8"/>
  <c r="Z9" i="8"/>
  <c r="W2" i="8"/>
  <c r="W12" i="8" s="1"/>
  <c r="X11" i="8"/>
  <c r="X10" i="8"/>
  <c r="X9" i="8"/>
  <c r="U12" i="8"/>
  <c r="U4" i="8"/>
  <c r="U5" i="8"/>
  <c r="U6" i="8"/>
  <c r="U3" i="8"/>
  <c r="T9" i="8"/>
  <c r="T10" i="8"/>
  <c r="T8" i="8"/>
  <c r="T7" i="8"/>
  <c r="K30" i="7"/>
  <c r="K29" i="7"/>
  <c r="K28" i="7"/>
  <c r="R3" i="7"/>
  <c r="Q3" i="7"/>
  <c r="Q2" i="7"/>
  <c r="R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" i="7"/>
  <c r="G3" i="7"/>
  <c r="L3" i="7" s="1"/>
  <c r="G4" i="7"/>
  <c r="G5" i="7"/>
  <c r="L5" i="7" s="1"/>
  <c r="G6" i="7"/>
  <c r="L6" i="7" s="1"/>
  <c r="G7" i="7"/>
  <c r="G8" i="7"/>
  <c r="G9" i="7"/>
  <c r="G10" i="7"/>
  <c r="G11" i="7"/>
  <c r="G12" i="7"/>
  <c r="L12" i="7" s="1"/>
  <c r="G13" i="7"/>
  <c r="G14" i="7"/>
  <c r="G15" i="7"/>
  <c r="L15" i="7" s="1"/>
  <c r="G16" i="7"/>
  <c r="G17" i="7"/>
  <c r="L17" i="7" s="1"/>
  <c r="G18" i="7"/>
  <c r="L18" i="7" s="1"/>
  <c r="G19" i="7"/>
  <c r="G20" i="7"/>
  <c r="G21" i="7"/>
  <c r="G22" i="7"/>
  <c r="G23" i="7"/>
  <c r="G24" i="7"/>
  <c r="L24" i="7" s="1"/>
  <c r="G25" i="7"/>
  <c r="L25" i="7" s="1"/>
  <c r="G26" i="7"/>
  <c r="G2" i="7"/>
  <c r="D3" i="7"/>
  <c r="O3" i="7" s="1"/>
  <c r="D4" i="7"/>
  <c r="O4" i="7" s="1"/>
  <c r="D5" i="7"/>
  <c r="O5" i="7" s="1"/>
  <c r="D6" i="7"/>
  <c r="O6" i="7" s="1"/>
  <c r="D7" i="7"/>
  <c r="O7" i="7" s="1"/>
  <c r="D8" i="7"/>
  <c r="O8" i="7" s="1"/>
  <c r="D9" i="7"/>
  <c r="O9" i="7" s="1"/>
  <c r="D10" i="7"/>
  <c r="O10" i="7" s="1"/>
  <c r="D11" i="7"/>
  <c r="O11" i="7" s="1"/>
  <c r="D12" i="7"/>
  <c r="O12" i="7" s="1"/>
  <c r="D13" i="7"/>
  <c r="O13" i="7" s="1"/>
  <c r="D14" i="7"/>
  <c r="O14" i="7" s="1"/>
  <c r="D15" i="7"/>
  <c r="O15" i="7" s="1"/>
  <c r="D16" i="7"/>
  <c r="O16" i="7" s="1"/>
  <c r="D17" i="7"/>
  <c r="O17" i="7" s="1"/>
  <c r="D18" i="7"/>
  <c r="O18" i="7" s="1"/>
  <c r="D19" i="7"/>
  <c r="O19" i="7" s="1"/>
  <c r="D20" i="7"/>
  <c r="O20" i="7" s="1"/>
  <c r="D21" i="7"/>
  <c r="O21" i="7" s="1"/>
  <c r="D22" i="7"/>
  <c r="O22" i="7" s="1"/>
  <c r="D23" i="7"/>
  <c r="O23" i="7" s="1"/>
  <c r="D24" i="7"/>
  <c r="O24" i="7" s="1"/>
  <c r="D25" i="7"/>
  <c r="O25" i="7" s="1"/>
  <c r="D26" i="7"/>
  <c r="O26" i="7" s="1"/>
  <c r="D2" i="7"/>
  <c r="J38" i="6"/>
  <c r="J37" i="6"/>
  <c r="J36" i="6"/>
  <c r="J35" i="6"/>
  <c r="J34" i="6"/>
  <c r="Q40" i="5"/>
  <c r="R40" i="5" s="1"/>
  <c r="Q39" i="5"/>
  <c r="R39" i="5" s="1"/>
  <c r="Q38" i="5"/>
  <c r="R38" i="5" s="1"/>
  <c r="R37" i="5"/>
  <c r="Q37" i="5"/>
  <c r="Q36" i="5"/>
  <c r="R36" i="5" s="1"/>
  <c r="Q35" i="5"/>
  <c r="R35" i="5" s="1"/>
  <c r="R34" i="5"/>
  <c r="Q34" i="5"/>
  <c r="R33" i="5"/>
  <c r="Q33" i="5"/>
  <c r="R32" i="5"/>
  <c r="Q32" i="5"/>
  <c r="K36" i="3"/>
  <c r="K35" i="3"/>
  <c r="K34" i="3"/>
  <c r="K33" i="3"/>
  <c r="K32" i="3"/>
  <c r="K37" i="1"/>
  <c r="K38" i="1"/>
  <c r="K39" i="1"/>
  <c r="K40" i="1"/>
  <c r="K36" i="1"/>
  <c r="AH12" i="11" l="1"/>
  <c r="AP12" i="11"/>
  <c r="M3" i="11"/>
  <c r="AJ12" i="11"/>
  <c r="AL12" i="11"/>
  <c r="G8" i="11"/>
  <c r="K23" i="11"/>
  <c r="K7" i="11"/>
  <c r="J6" i="11"/>
  <c r="J2" i="11"/>
  <c r="J11" i="11"/>
  <c r="J10" i="11"/>
  <c r="J9" i="11"/>
  <c r="J8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7" i="11"/>
  <c r="J5" i="11"/>
  <c r="J3" i="11"/>
  <c r="J4" i="11"/>
  <c r="N11" i="11"/>
  <c r="N10" i="11"/>
  <c r="N9" i="11"/>
  <c r="N8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7" i="11"/>
  <c r="N6" i="11"/>
  <c r="N5" i="11"/>
  <c r="N2" i="11"/>
  <c r="N4" i="11"/>
  <c r="N3" i="11"/>
  <c r="O25" i="11"/>
  <c r="O13" i="11"/>
  <c r="Z12" i="11"/>
  <c r="G24" i="11"/>
  <c r="G17" i="11"/>
  <c r="G12" i="11"/>
  <c r="G22" i="11"/>
  <c r="G15" i="11"/>
  <c r="G7" i="11"/>
  <c r="G23" i="11"/>
  <c r="G26" i="11"/>
  <c r="G16" i="11"/>
  <c r="G25" i="11"/>
  <c r="G13" i="11"/>
  <c r="G19" i="11"/>
  <c r="G20" i="11"/>
  <c r="G18" i="11"/>
  <c r="G21" i="11"/>
  <c r="G14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7" i="11"/>
  <c r="P6" i="11"/>
  <c r="P5" i="11"/>
  <c r="P2" i="11"/>
  <c r="P4" i="11"/>
  <c r="P3" i="11"/>
  <c r="P11" i="11"/>
  <c r="P10" i="11"/>
  <c r="P9" i="11"/>
  <c r="P8" i="11"/>
  <c r="G5" i="11"/>
  <c r="H4" i="11"/>
  <c r="H21" i="11"/>
  <c r="H13" i="11"/>
  <c r="H3" i="11"/>
  <c r="H20" i="11"/>
  <c r="H17" i="11"/>
  <c r="H22" i="11"/>
  <c r="H6" i="11"/>
  <c r="H24" i="11"/>
  <c r="H16" i="11"/>
  <c r="H7" i="11"/>
  <c r="H23" i="11"/>
  <c r="H15" i="11"/>
  <c r="H25" i="11"/>
  <c r="H26" i="11"/>
  <c r="H11" i="11"/>
  <c r="H10" i="11"/>
  <c r="H9" i="11"/>
  <c r="H8" i="11"/>
  <c r="H12" i="11"/>
  <c r="H5" i="11"/>
  <c r="H2" i="11"/>
  <c r="H19" i="11"/>
  <c r="H18" i="11"/>
  <c r="H14" i="11"/>
  <c r="AD12" i="11"/>
  <c r="L4" i="11"/>
  <c r="I9" i="11"/>
  <c r="I8" i="11"/>
  <c r="I26" i="11"/>
  <c r="I16" i="11"/>
  <c r="I15" i="11"/>
  <c r="I14" i="11"/>
  <c r="M11" i="11"/>
  <c r="F12" i="11"/>
  <c r="F16" i="11"/>
  <c r="F25" i="11"/>
  <c r="AN2" i="11"/>
  <c r="O23" i="11" s="1"/>
  <c r="G6" i="11"/>
  <c r="F7" i="11"/>
  <c r="F13" i="11"/>
  <c r="F10" i="11"/>
  <c r="L2" i="11"/>
  <c r="M4" i="11"/>
  <c r="L5" i="11"/>
  <c r="X12" i="11"/>
  <c r="F19" i="11"/>
  <c r="L3" i="11"/>
  <c r="M2" i="11"/>
  <c r="M5" i="11"/>
  <c r="L6" i="11"/>
  <c r="F21" i="11"/>
  <c r="M6" i="11"/>
  <c r="L7" i="11"/>
  <c r="F15" i="11"/>
  <c r="F23" i="11"/>
  <c r="F9" i="11"/>
  <c r="AB2" i="11"/>
  <c r="AB12" i="11" s="1"/>
  <c r="G10" i="11"/>
  <c r="AF2" i="11"/>
  <c r="AF12" i="11" s="1"/>
  <c r="AR2" i="11"/>
  <c r="Q4" i="11" s="1"/>
  <c r="M7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F18" i="11"/>
  <c r="F26" i="11"/>
  <c r="F11" i="11"/>
  <c r="G11" i="11"/>
  <c r="F3" i="11"/>
  <c r="L8" i="11"/>
  <c r="L9" i="11"/>
  <c r="L10" i="11"/>
  <c r="L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F20" i="11"/>
  <c r="G3" i="11"/>
  <c r="F4" i="11"/>
  <c r="M8" i="11"/>
  <c r="M9" i="11"/>
  <c r="M10" i="11"/>
  <c r="F17" i="11"/>
  <c r="F24" i="11"/>
  <c r="F8" i="11"/>
  <c r="G9" i="11"/>
  <c r="F2" i="11"/>
  <c r="G4" i="11"/>
  <c r="F5" i="11"/>
  <c r="F14" i="11"/>
  <c r="F22" i="11"/>
  <c r="G2" i="11"/>
  <c r="AH12" i="10"/>
  <c r="P20" i="10"/>
  <c r="P2" i="10"/>
  <c r="G24" i="10"/>
  <c r="G14" i="10"/>
  <c r="G25" i="10"/>
  <c r="G10" i="10"/>
  <c r="G18" i="10"/>
  <c r="G12" i="10"/>
  <c r="G8" i="10"/>
  <c r="G23" i="10"/>
  <c r="G13" i="10"/>
  <c r="G26" i="10"/>
  <c r="G17" i="10"/>
  <c r="G20" i="10"/>
  <c r="G22" i="10"/>
  <c r="G15" i="10"/>
  <c r="G19" i="10"/>
  <c r="G21" i="10"/>
  <c r="G16" i="10"/>
  <c r="Q23" i="10"/>
  <c r="Q7" i="10"/>
  <c r="Q6" i="10"/>
  <c r="H17" i="10"/>
  <c r="H20" i="10"/>
  <c r="H13" i="10"/>
  <c r="H21" i="10"/>
  <c r="H7" i="10"/>
  <c r="H19" i="10"/>
  <c r="H14" i="10"/>
  <c r="H22" i="10"/>
  <c r="H12" i="10"/>
  <c r="H23" i="10"/>
  <c r="H24" i="10"/>
  <c r="H25" i="10"/>
  <c r="H15" i="10"/>
  <c r="H8" i="10"/>
  <c r="H26" i="10"/>
  <c r="H16" i="10"/>
  <c r="H18" i="10"/>
  <c r="K4" i="10"/>
  <c r="K10" i="10"/>
  <c r="K9" i="10"/>
  <c r="K8" i="10"/>
  <c r="K2" i="10"/>
  <c r="K20" i="10"/>
  <c r="K18" i="10"/>
  <c r="K17" i="10"/>
  <c r="K16" i="10"/>
  <c r="K15" i="10"/>
  <c r="F7" i="10"/>
  <c r="F6" i="10"/>
  <c r="F5" i="10"/>
  <c r="F2" i="10"/>
  <c r="F4" i="10"/>
  <c r="F8" i="10"/>
  <c r="F3" i="10"/>
  <c r="F10" i="10"/>
  <c r="F9" i="10"/>
  <c r="F11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G9" i="10"/>
  <c r="G6" i="10"/>
  <c r="M3" i="10"/>
  <c r="AJ12" i="10"/>
  <c r="Z12" i="10"/>
  <c r="H5" i="10"/>
  <c r="AL12" i="10"/>
  <c r="N5" i="10"/>
  <c r="N2" i="10"/>
  <c r="N4" i="10"/>
  <c r="N3" i="10"/>
  <c r="AB12" i="10"/>
  <c r="M11" i="10"/>
  <c r="O9" i="10"/>
  <c r="O16" i="10"/>
  <c r="N11" i="10"/>
  <c r="AN2" i="10"/>
  <c r="O26" i="10" s="1"/>
  <c r="H6" i="10"/>
  <c r="G7" i="10"/>
  <c r="AG12" i="10"/>
  <c r="G11" i="10"/>
  <c r="M4" i="10"/>
  <c r="H9" i="10"/>
  <c r="H10" i="10"/>
  <c r="H11" i="10"/>
  <c r="X12" i="10"/>
  <c r="M2" i="10"/>
  <c r="AD2" i="10"/>
  <c r="J24" i="10" s="1"/>
  <c r="AP2" i="10"/>
  <c r="P11" i="10" s="1"/>
  <c r="M5" i="10"/>
  <c r="M6" i="10"/>
  <c r="AF2" i="10"/>
  <c r="K26" i="10" s="1"/>
  <c r="AR2" i="10"/>
  <c r="Q21" i="10" s="1"/>
  <c r="N6" i="10"/>
  <c r="M7" i="10"/>
  <c r="AA12" i="10"/>
  <c r="N7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G3" i="10"/>
  <c r="M8" i="10"/>
  <c r="M9" i="10"/>
  <c r="M10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H3" i="10"/>
  <c r="G4" i="10"/>
  <c r="N8" i="10"/>
  <c r="N9" i="10"/>
  <c r="N10" i="10"/>
  <c r="G2" i="10"/>
  <c r="H4" i="10"/>
  <c r="G5" i="10"/>
  <c r="H2" i="10"/>
  <c r="P11" i="9"/>
  <c r="P8" i="9"/>
  <c r="P19" i="9"/>
  <c r="P18" i="9"/>
  <c r="P16" i="9"/>
  <c r="P12" i="9"/>
  <c r="P4" i="9"/>
  <c r="P3" i="9"/>
  <c r="J7" i="9"/>
  <c r="J26" i="9"/>
  <c r="J25" i="9"/>
  <c r="J24" i="9"/>
  <c r="J21" i="9"/>
  <c r="J14" i="9"/>
  <c r="J13" i="9"/>
  <c r="J12" i="9"/>
  <c r="AR12" i="9"/>
  <c r="Q7" i="9"/>
  <c r="AF12" i="9"/>
  <c r="K4" i="9"/>
  <c r="K5" i="9"/>
  <c r="K2" i="9"/>
  <c r="F7" i="9"/>
  <c r="F11" i="9"/>
  <c r="F5" i="9"/>
  <c r="F2" i="9"/>
  <c r="F9" i="9"/>
  <c r="F4" i="9"/>
  <c r="F8" i="9"/>
  <c r="F3" i="9"/>
  <c r="F10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6" i="9"/>
  <c r="AH12" i="9"/>
  <c r="L5" i="9"/>
  <c r="L2" i="9"/>
  <c r="L3" i="9"/>
  <c r="L4" i="9"/>
  <c r="AJ12" i="9"/>
  <c r="M3" i="9"/>
  <c r="L11" i="9"/>
  <c r="H5" i="9"/>
  <c r="H2" i="9"/>
  <c r="H4" i="9"/>
  <c r="H3" i="9"/>
  <c r="H10" i="9"/>
  <c r="H25" i="9"/>
  <c r="H18" i="9"/>
  <c r="H24" i="9"/>
  <c r="H17" i="9"/>
  <c r="H26" i="9"/>
  <c r="H16" i="9"/>
  <c r="H12" i="9"/>
  <c r="H7" i="9"/>
  <c r="H22" i="9"/>
  <c r="H19" i="9"/>
  <c r="H13" i="9"/>
  <c r="H11" i="9"/>
  <c r="H8" i="9"/>
  <c r="H21" i="9"/>
  <c r="H14" i="9"/>
  <c r="H9" i="9"/>
  <c r="H23" i="9"/>
  <c r="H20" i="9"/>
  <c r="H15" i="9"/>
  <c r="H6" i="9"/>
  <c r="N11" i="9"/>
  <c r="N10" i="9"/>
  <c r="N9" i="9"/>
  <c r="N8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7" i="9"/>
  <c r="N3" i="9"/>
  <c r="N6" i="9"/>
  <c r="N5" i="9"/>
  <c r="N2" i="9"/>
  <c r="N4" i="9"/>
  <c r="K6" i="9"/>
  <c r="G5" i="9"/>
  <c r="G19" i="9"/>
  <c r="G13" i="9"/>
  <c r="G9" i="9"/>
  <c r="G24" i="9"/>
  <c r="G17" i="9"/>
  <c r="G10" i="9"/>
  <c r="G22" i="9"/>
  <c r="G15" i="9"/>
  <c r="G12" i="9"/>
  <c r="X12" i="9"/>
  <c r="G26" i="9"/>
  <c r="G18" i="9"/>
  <c r="G11" i="9"/>
  <c r="G8" i="9"/>
  <c r="G23" i="9"/>
  <c r="G16" i="9"/>
  <c r="G21" i="9"/>
  <c r="G25" i="9"/>
  <c r="G14" i="9"/>
  <c r="G20" i="9"/>
  <c r="O11" i="9"/>
  <c r="O10" i="9"/>
  <c r="O9" i="9"/>
  <c r="O8" i="9"/>
  <c r="O26" i="9"/>
  <c r="O25" i="9"/>
  <c r="O24" i="9"/>
  <c r="O21" i="9"/>
  <c r="O19" i="9"/>
  <c r="O18" i="9"/>
  <c r="O17" i="9"/>
  <c r="O16" i="9"/>
  <c r="O15" i="9"/>
  <c r="O14" i="9"/>
  <c r="O13" i="9"/>
  <c r="O12" i="9"/>
  <c r="O5" i="9"/>
  <c r="O4" i="9"/>
  <c r="O3" i="9"/>
  <c r="M11" i="9"/>
  <c r="K3" i="9"/>
  <c r="G7" i="9"/>
  <c r="Q8" i="9"/>
  <c r="Q9" i="9"/>
  <c r="Q10" i="9"/>
  <c r="Q11" i="9"/>
  <c r="M4" i="9"/>
  <c r="M2" i="9"/>
  <c r="AD2" i="9"/>
  <c r="AD12" i="9" s="1"/>
  <c r="AP2" i="9"/>
  <c r="AP12" i="9" s="1"/>
  <c r="M5" i="9"/>
  <c r="L6" i="9"/>
  <c r="K7" i="9"/>
  <c r="M6" i="9"/>
  <c r="L7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AN2" i="9"/>
  <c r="AN12" i="9" s="1"/>
  <c r="Q3" i="9"/>
  <c r="M7" i="9"/>
  <c r="K8" i="9"/>
  <c r="K9" i="9"/>
  <c r="K10" i="9"/>
  <c r="K11" i="9"/>
  <c r="L12" i="9"/>
  <c r="AA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8" i="9"/>
  <c r="L9" i="9"/>
  <c r="L10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Q2" i="9"/>
  <c r="G3" i="9"/>
  <c r="Q5" i="9"/>
  <c r="M8" i="9"/>
  <c r="M9" i="9"/>
  <c r="M10" i="9"/>
  <c r="G4" i="9"/>
  <c r="Q6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16" i="8"/>
  <c r="N17" i="8"/>
  <c r="N23" i="8"/>
  <c r="AD12" i="8"/>
  <c r="AN12" i="8"/>
  <c r="AM12" i="8"/>
  <c r="AR2" i="8"/>
  <c r="AR12" i="8" s="1"/>
  <c r="AP2" i="8"/>
  <c r="AP8" i="8" s="1"/>
  <c r="P14" i="8" s="1"/>
  <c r="AL2" i="8"/>
  <c r="AL8" i="8" s="1"/>
  <c r="N19" i="8" s="1"/>
  <c r="AJ2" i="8"/>
  <c r="AJ8" i="8" s="1"/>
  <c r="M14" i="8" s="1"/>
  <c r="AH2" i="8"/>
  <c r="AH8" i="8" s="1"/>
  <c r="L19" i="8" s="1"/>
  <c r="AE12" i="8"/>
  <c r="AC12" i="8"/>
  <c r="AB2" i="8"/>
  <c r="AB8" i="8" s="1"/>
  <c r="AB12" i="8" s="1"/>
  <c r="Z2" i="8"/>
  <c r="Z8" i="8" s="1"/>
  <c r="H21" i="8" s="1"/>
  <c r="X2" i="8"/>
  <c r="U7" i="8"/>
  <c r="T12" i="8"/>
  <c r="F2" i="8" s="1"/>
  <c r="L16" i="7"/>
  <c r="L4" i="7"/>
  <c r="L13" i="7"/>
  <c r="L26" i="7"/>
  <c r="K26" i="7" s="1"/>
  <c r="L14" i="7"/>
  <c r="K14" i="7"/>
  <c r="K13" i="7"/>
  <c r="K12" i="7"/>
  <c r="L21" i="7"/>
  <c r="K21" i="7" s="1"/>
  <c r="L9" i="7"/>
  <c r="K9" i="7" s="1"/>
  <c r="L19" i="7"/>
  <c r="K19" i="7" s="1"/>
  <c r="L7" i="7"/>
  <c r="K7" i="7" s="1"/>
  <c r="K25" i="7"/>
  <c r="K24" i="7"/>
  <c r="L20" i="7"/>
  <c r="K20" i="7" s="1"/>
  <c r="L8" i="7"/>
  <c r="K8" i="7" s="1"/>
  <c r="K18" i="7"/>
  <c r="K6" i="7"/>
  <c r="K17" i="7"/>
  <c r="K5" i="7"/>
  <c r="K16" i="7"/>
  <c r="K4" i="7"/>
  <c r="K15" i="7"/>
  <c r="K3" i="7"/>
  <c r="L22" i="7"/>
  <c r="K22" i="7" s="1"/>
  <c r="L10" i="7"/>
  <c r="K10" i="7" s="1"/>
  <c r="L23" i="7"/>
  <c r="K23" i="7" s="1"/>
  <c r="L11" i="7"/>
  <c r="K11" i="7" s="1"/>
  <c r="R42" i="5"/>
  <c r="M28" i="11" l="1"/>
  <c r="Q19" i="11"/>
  <c r="Q11" i="11"/>
  <c r="H28" i="11"/>
  <c r="O12" i="11"/>
  <c r="O24" i="11"/>
  <c r="K5" i="11"/>
  <c r="K22" i="11"/>
  <c r="Q21" i="11"/>
  <c r="Q5" i="11"/>
  <c r="O14" i="11"/>
  <c r="O26" i="11"/>
  <c r="K12" i="11"/>
  <c r="K24" i="11"/>
  <c r="Q22" i="11"/>
  <c r="Q6" i="11"/>
  <c r="I17" i="11"/>
  <c r="I10" i="11"/>
  <c r="O15" i="11"/>
  <c r="O8" i="11"/>
  <c r="K13" i="11"/>
  <c r="K25" i="11"/>
  <c r="Q2" i="11"/>
  <c r="Q23" i="11"/>
  <c r="Q9" i="11"/>
  <c r="I18" i="11"/>
  <c r="I11" i="11"/>
  <c r="O16" i="11"/>
  <c r="O9" i="11"/>
  <c r="K14" i="11"/>
  <c r="K26" i="11"/>
  <c r="G28" i="11"/>
  <c r="Q12" i="11"/>
  <c r="Q24" i="11"/>
  <c r="Q7" i="11"/>
  <c r="I19" i="11"/>
  <c r="I5" i="11"/>
  <c r="O17" i="11"/>
  <c r="O10" i="11"/>
  <c r="K15" i="11"/>
  <c r="K8" i="11"/>
  <c r="Q13" i="11"/>
  <c r="Q25" i="11"/>
  <c r="I2" i="11"/>
  <c r="I20" i="11"/>
  <c r="I3" i="11"/>
  <c r="P28" i="11"/>
  <c r="O3" i="11"/>
  <c r="O18" i="11"/>
  <c r="O11" i="11"/>
  <c r="K16" i="11"/>
  <c r="K9" i="11"/>
  <c r="L28" i="11"/>
  <c r="Q14" i="11"/>
  <c r="Q26" i="11"/>
  <c r="I6" i="11"/>
  <c r="I21" i="11"/>
  <c r="O4" i="11"/>
  <c r="O19" i="11"/>
  <c r="J28" i="11"/>
  <c r="K17" i="11"/>
  <c r="K10" i="11"/>
  <c r="Q20" i="11"/>
  <c r="Q15" i="11"/>
  <c r="Q10" i="11"/>
  <c r="I4" i="11"/>
  <c r="I22" i="11"/>
  <c r="O2" i="11"/>
  <c r="O20" i="11"/>
  <c r="K18" i="11"/>
  <c r="K11" i="11"/>
  <c r="Q16" i="11"/>
  <c r="Q3" i="11"/>
  <c r="I7" i="11"/>
  <c r="I23" i="11"/>
  <c r="O5" i="11"/>
  <c r="O21" i="11"/>
  <c r="N28" i="11"/>
  <c r="AR12" i="11"/>
  <c r="K19" i="11"/>
  <c r="K4" i="11"/>
  <c r="Q17" i="11"/>
  <c r="Q8" i="11"/>
  <c r="I12" i="11"/>
  <c r="I24" i="11"/>
  <c r="O6" i="11"/>
  <c r="O22" i="11"/>
  <c r="AN12" i="11"/>
  <c r="K20" i="11"/>
  <c r="K3" i="11"/>
  <c r="Q18" i="11"/>
  <c r="I13" i="11"/>
  <c r="I25" i="11"/>
  <c r="O7" i="11"/>
  <c r="K6" i="11"/>
  <c r="K21" i="11"/>
  <c r="K2" i="11"/>
  <c r="J26" i="10"/>
  <c r="O15" i="10"/>
  <c r="O8" i="10"/>
  <c r="J13" i="10"/>
  <c r="J25" i="10"/>
  <c r="Q22" i="10"/>
  <c r="P4" i="10"/>
  <c r="P19" i="10"/>
  <c r="AD12" i="10"/>
  <c r="O17" i="10"/>
  <c r="O10" i="10"/>
  <c r="J15" i="10"/>
  <c r="J8" i="10"/>
  <c r="Q12" i="10"/>
  <c r="Q24" i="10"/>
  <c r="P5" i="10"/>
  <c r="P21" i="10"/>
  <c r="O3" i="10"/>
  <c r="O18" i="10"/>
  <c r="O11" i="10"/>
  <c r="J16" i="10"/>
  <c r="J9" i="10"/>
  <c r="Q13" i="10"/>
  <c r="Q25" i="10"/>
  <c r="P6" i="10"/>
  <c r="P22" i="10"/>
  <c r="O4" i="10"/>
  <c r="O19" i="10"/>
  <c r="K19" i="10"/>
  <c r="K11" i="10"/>
  <c r="J17" i="10"/>
  <c r="J10" i="10"/>
  <c r="Q8" i="10"/>
  <c r="Q14" i="10"/>
  <c r="Q26" i="10"/>
  <c r="P7" i="10"/>
  <c r="P23" i="10"/>
  <c r="I4" i="10"/>
  <c r="I6" i="10"/>
  <c r="I3" i="10"/>
  <c r="I7" i="10"/>
  <c r="I11" i="10"/>
  <c r="I10" i="10"/>
  <c r="I9" i="10"/>
  <c r="I8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5" i="10"/>
  <c r="I2" i="10"/>
  <c r="O2" i="10"/>
  <c r="O20" i="10"/>
  <c r="J18" i="10"/>
  <c r="J11" i="10"/>
  <c r="Q9" i="10"/>
  <c r="Q15" i="10"/>
  <c r="P12" i="10"/>
  <c r="P24" i="10"/>
  <c r="O5" i="10"/>
  <c r="O21" i="10"/>
  <c r="K3" i="10"/>
  <c r="K21" i="10"/>
  <c r="K5" i="10"/>
  <c r="J19" i="10"/>
  <c r="J5" i="10"/>
  <c r="Q10" i="10"/>
  <c r="Q16" i="10"/>
  <c r="P13" i="10"/>
  <c r="P25" i="10"/>
  <c r="O6" i="10"/>
  <c r="O22" i="10"/>
  <c r="K6" i="10"/>
  <c r="K22" i="10"/>
  <c r="AR12" i="10"/>
  <c r="J20" i="10"/>
  <c r="J6" i="10"/>
  <c r="Q11" i="10"/>
  <c r="Q17" i="10"/>
  <c r="P14" i="10"/>
  <c r="P26" i="10"/>
  <c r="O7" i="10"/>
  <c r="O23" i="10"/>
  <c r="K7" i="10"/>
  <c r="K23" i="10"/>
  <c r="J4" i="10"/>
  <c r="J21" i="10"/>
  <c r="J3" i="10"/>
  <c r="Q3" i="10"/>
  <c r="Q18" i="10"/>
  <c r="P15" i="10"/>
  <c r="P8" i="10"/>
  <c r="L11" i="10"/>
  <c r="L10" i="10"/>
  <c r="L9" i="10"/>
  <c r="L8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7" i="10"/>
  <c r="L3" i="10"/>
  <c r="L6" i="10"/>
  <c r="L5" i="10"/>
  <c r="L2" i="10"/>
  <c r="L4" i="10"/>
  <c r="O12" i="10"/>
  <c r="O24" i="10"/>
  <c r="K12" i="10"/>
  <c r="K24" i="10"/>
  <c r="J7" i="10"/>
  <c r="J22" i="10"/>
  <c r="AP12" i="10"/>
  <c r="Q4" i="10"/>
  <c r="Q19" i="10"/>
  <c r="P16" i="10"/>
  <c r="P9" i="10"/>
  <c r="O13" i="10"/>
  <c r="O25" i="10"/>
  <c r="K13" i="10"/>
  <c r="K25" i="10"/>
  <c r="J2" i="10"/>
  <c r="J23" i="10"/>
  <c r="AN12" i="10"/>
  <c r="Q2" i="10"/>
  <c r="Q20" i="10"/>
  <c r="AF12" i="10"/>
  <c r="P17" i="10"/>
  <c r="P10" i="10"/>
  <c r="J14" i="10"/>
  <c r="O14" i="10"/>
  <c r="K14" i="10"/>
  <c r="J12" i="10"/>
  <c r="Q5" i="10"/>
  <c r="P3" i="10"/>
  <c r="P18" i="10"/>
  <c r="J15" i="9"/>
  <c r="J2" i="9"/>
  <c r="P5" i="9"/>
  <c r="P20" i="9"/>
  <c r="J16" i="9"/>
  <c r="J8" i="9"/>
  <c r="P6" i="9"/>
  <c r="P21" i="9"/>
  <c r="I4" i="9"/>
  <c r="I3" i="9"/>
  <c r="I6" i="9"/>
  <c r="I21" i="9"/>
  <c r="I20" i="9"/>
  <c r="I15" i="9"/>
  <c r="I23" i="9"/>
  <c r="I19" i="9"/>
  <c r="I13" i="9"/>
  <c r="I24" i="9"/>
  <c r="I18" i="9"/>
  <c r="I25" i="9"/>
  <c r="I17" i="9"/>
  <c r="I12" i="9"/>
  <c r="I22" i="9"/>
  <c r="I14" i="9"/>
  <c r="I7" i="9"/>
  <c r="I11" i="9"/>
  <c r="I10" i="9"/>
  <c r="I9" i="9"/>
  <c r="I8" i="9"/>
  <c r="I26" i="9"/>
  <c r="I16" i="9"/>
  <c r="I5" i="9"/>
  <c r="I2" i="9"/>
  <c r="J17" i="9"/>
  <c r="J9" i="9"/>
  <c r="P7" i="9"/>
  <c r="P22" i="9"/>
  <c r="J18" i="9"/>
  <c r="J10" i="9"/>
  <c r="P13" i="9"/>
  <c r="P23" i="9"/>
  <c r="J19" i="9"/>
  <c r="J11" i="9"/>
  <c r="P17" i="9"/>
  <c r="P24" i="9"/>
  <c r="O2" i="9"/>
  <c r="O20" i="9"/>
  <c r="J20" i="9"/>
  <c r="J6" i="9"/>
  <c r="P25" i="9"/>
  <c r="P26" i="9"/>
  <c r="O6" i="9"/>
  <c r="O22" i="9"/>
  <c r="J22" i="9"/>
  <c r="J5" i="9"/>
  <c r="P14" i="9"/>
  <c r="P9" i="9"/>
  <c r="O7" i="9"/>
  <c r="O23" i="9"/>
  <c r="J4" i="9"/>
  <c r="J23" i="9"/>
  <c r="J3" i="9"/>
  <c r="P15" i="9"/>
  <c r="P10" i="9"/>
  <c r="P26" i="8"/>
  <c r="P3" i="8"/>
  <c r="Q15" i="8"/>
  <c r="Q19" i="8"/>
  <c r="P7" i="8"/>
  <c r="Q21" i="8"/>
  <c r="P18" i="8"/>
  <c r="Q23" i="8"/>
  <c r="P11" i="8"/>
  <c r="Q25" i="8"/>
  <c r="P15" i="8"/>
  <c r="Q20" i="8"/>
  <c r="N4" i="8"/>
  <c r="P19" i="8"/>
  <c r="Q26" i="8"/>
  <c r="Q8" i="8"/>
  <c r="Q22" i="8"/>
  <c r="N21" i="8"/>
  <c r="Q4" i="8"/>
  <c r="Q18" i="8"/>
  <c r="N7" i="8"/>
  <c r="Q12" i="8"/>
  <c r="Q14" i="8"/>
  <c r="P22" i="8"/>
  <c r="Q17" i="8"/>
  <c r="Q10" i="8"/>
  <c r="M12" i="8"/>
  <c r="Q11" i="8"/>
  <c r="Q6" i="8"/>
  <c r="AP12" i="8"/>
  <c r="P13" i="8"/>
  <c r="P25" i="8"/>
  <c r="P21" i="8"/>
  <c r="P17" i="8"/>
  <c r="P4" i="8"/>
  <c r="P8" i="8"/>
  <c r="P12" i="8"/>
  <c r="P16" i="8"/>
  <c r="P20" i="8"/>
  <c r="P24" i="8"/>
  <c r="P9" i="8"/>
  <c r="P5" i="8"/>
  <c r="M3" i="8"/>
  <c r="P23" i="8"/>
  <c r="Q7" i="8"/>
  <c r="P6" i="8"/>
  <c r="P2" i="8"/>
  <c r="Q3" i="8"/>
  <c r="Q9" i="8"/>
  <c r="O2" i="8"/>
  <c r="O6" i="8"/>
  <c r="O10" i="8"/>
  <c r="O14" i="8"/>
  <c r="O18" i="8"/>
  <c r="O22" i="8"/>
  <c r="O26" i="8"/>
  <c r="O5" i="8"/>
  <c r="O13" i="8"/>
  <c r="O25" i="8"/>
  <c r="O3" i="8"/>
  <c r="O7" i="8"/>
  <c r="O11" i="8"/>
  <c r="O15" i="8"/>
  <c r="O19" i="8"/>
  <c r="O23" i="8"/>
  <c r="O9" i="8"/>
  <c r="O21" i="8"/>
  <c r="O4" i="8"/>
  <c r="O8" i="8"/>
  <c r="O12" i="8"/>
  <c r="O16" i="8"/>
  <c r="O20" i="8"/>
  <c r="O24" i="8"/>
  <c r="O17" i="8"/>
  <c r="P10" i="8"/>
  <c r="Q5" i="8"/>
  <c r="Q24" i="8"/>
  <c r="Q13" i="8"/>
  <c r="N5" i="8"/>
  <c r="AH12" i="8"/>
  <c r="L20" i="8"/>
  <c r="L15" i="8"/>
  <c r="L6" i="8"/>
  <c r="L23" i="8"/>
  <c r="L22" i="8"/>
  <c r="L3" i="8"/>
  <c r="L8" i="8"/>
  <c r="L18" i="8"/>
  <c r="L11" i="8"/>
  <c r="L13" i="8"/>
  <c r="L25" i="8"/>
  <c r="L4" i="8"/>
  <c r="L16" i="8"/>
  <c r="L2" i="8"/>
  <c r="L17" i="8"/>
  <c r="N10" i="8"/>
  <c r="AJ12" i="8"/>
  <c r="M18" i="8"/>
  <c r="M13" i="8"/>
  <c r="M25" i="8"/>
  <c r="M6" i="8"/>
  <c r="M11" i="8"/>
  <c r="M23" i="8"/>
  <c r="M26" i="8"/>
  <c r="M15" i="8"/>
  <c r="AL12" i="8"/>
  <c r="N8" i="8"/>
  <c r="N20" i="8"/>
  <c r="N13" i="8"/>
  <c r="N25" i="8"/>
  <c r="N6" i="8"/>
  <c r="N18" i="8"/>
  <c r="M9" i="8"/>
  <c r="N2" i="8"/>
  <c r="M24" i="8"/>
  <c r="N22" i="8"/>
  <c r="L14" i="8"/>
  <c r="M7" i="8"/>
  <c r="M10" i="8"/>
  <c r="N3" i="8"/>
  <c r="N16" i="8"/>
  <c r="L12" i="8"/>
  <c r="M22" i="8"/>
  <c r="M8" i="8"/>
  <c r="M21" i="8"/>
  <c r="N14" i="8"/>
  <c r="M5" i="8"/>
  <c r="N15" i="8"/>
  <c r="K2" i="8"/>
  <c r="K14" i="8"/>
  <c r="K26" i="8"/>
  <c r="K25" i="8"/>
  <c r="K7" i="8"/>
  <c r="K19" i="8"/>
  <c r="K4" i="8"/>
  <c r="K12" i="8"/>
  <c r="K24" i="8"/>
  <c r="K5" i="8"/>
  <c r="K17" i="8"/>
  <c r="K8" i="8"/>
  <c r="K16" i="8"/>
  <c r="K10" i="8"/>
  <c r="K22" i="8"/>
  <c r="K3" i="8"/>
  <c r="K15" i="8"/>
  <c r="K11" i="8"/>
  <c r="K20" i="8"/>
  <c r="K13" i="8"/>
  <c r="K6" i="8"/>
  <c r="K18" i="8"/>
  <c r="K23" i="8"/>
  <c r="K9" i="8"/>
  <c r="K21" i="8"/>
  <c r="L26" i="8"/>
  <c r="M19" i="8"/>
  <c r="L10" i="8"/>
  <c r="M20" i="8"/>
  <c r="M2" i="8"/>
  <c r="L24" i="8"/>
  <c r="N12" i="8"/>
  <c r="N11" i="8"/>
  <c r="M16" i="8"/>
  <c r="L7" i="8"/>
  <c r="N26" i="8"/>
  <c r="M17" i="8"/>
  <c r="M4" i="8"/>
  <c r="L21" i="8"/>
  <c r="N9" i="8"/>
  <c r="L5" i="8"/>
  <c r="N24" i="8"/>
  <c r="L9" i="8"/>
  <c r="H23" i="8"/>
  <c r="I22" i="8"/>
  <c r="I24" i="8"/>
  <c r="I26" i="8"/>
  <c r="I3" i="8"/>
  <c r="I18" i="8"/>
  <c r="I5" i="8"/>
  <c r="I11" i="8"/>
  <c r="I14" i="8"/>
  <c r="I13" i="8"/>
  <c r="I20" i="8"/>
  <c r="I16" i="8"/>
  <c r="I15" i="8"/>
  <c r="H18" i="8"/>
  <c r="H19" i="8"/>
  <c r="I17" i="8"/>
  <c r="I6" i="8"/>
  <c r="H8" i="8"/>
  <c r="I19" i="8"/>
  <c r="I8" i="8"/>
  <c r="H20" i="8"/>
  <c r="I21" i="8"/>
  <c r="I10" i="8"/>
  <c r="H22" i="8"/>
  <c r="I23" i="8"/>
  <c r="I12" i="8"/>
  <c r="H11" i="8"/>
  <c r="I25" i="8"/>
  <c r="J2" i="8"/>
  <c r="J4" i="8"/>
  <c r="J6" i="8"/>
  <c r="J8" i="8"/>
  <c r="J10" i="8"/>
  <c r="J14" i="8"/>
  <c r="J16" i="8"/>
  <c r="J18" i="8"/>
  <c r="J20" i="8"/>
  <c r="J22" i="8"/>
  <c r="J24" i="8"/>
  <c r="J26" i="8"/>
  <c r="J3" i="8"/>
  <c r="J5" i="8"/>
  <c r="J7" i="8"/>
  <c r="J9" i="8"/>
  <c r="J11" i="8"/>
  <c r="J13" i="8"/>
  <c r="J15" i="8"/>
  <c r="J17" i="8"/>
  <c r="J19" i="8"/>
  <c r="J21" i="8"/>
  <c r="J23" i="8"/>
  <c r="J25" i="8"/>
  <c r="H9" i="8"/>
  <c r="Z12" i="8"/>
  <c r="H5" i="8"/>
  <c r="H4" i="8"/>
  <c r="H2" i="8"/>
  <c r="H12" i="8"/>
  <c r="H24" i="8"/>
  <c r="H13" i="8"/>
  <c r="H25" i="8"/>
  <c r="H14" i="8"/>
  <c r="H26" i="8"/>
  <c r="H3" i="8"/>
  <c r="H15" i="8"/>
  <c r="H17" i="8"/>
  <c r="H16" i="8"/>
  <c r="I7" i="8"/>
  <c r="I2" i="8"/>
  <c r="I4" i="8"/>
  <c r="H7" i="8"/>
  <c r="H10" i="8"/>
  <c r="I9" i="8"/>
  <c r="H6" i="8"/>
  <c r="F7" i="8"/>
  <c r="F19" i="8"/>
  <c r="F12" i="8"/>
  <c r="F14" i="8"/>
  <c r="F4" i="8"/>
  <c r="F8" i="8"/>
  <c r="F20" i="8"/>
  <c r="F18" i="8"/>
  <c r="F9" i="8"/>
  <c r="F21" i="8"/>
  <c r="F11" i="8"/>
  <c r="F15" i="8"/>
  <c r="F6" i="8"/>
  <c r="F10" i="8"/>
  <c r="F22" i="8"/>
  <c r="F23" i="8"/>
  <c r="F24" i="8"/>
  <c r="F16" i="8"/>
  <c r="F26" i="8"/>
  <c r="F17" i="8"/>
  <c r="F13" i="8"/>
  <c r="F25" i="8"/>
  <c r="F3" i="8"/>
  <c r="F5" i="8"/>
  <c r="K28" i="11" l="1"/>
  <c r="Q28" i="11"/>
  <c r="I28" i="11"/>
  <c r="O28" i="11"/>
  <c r="G12" i="8"/>
  <c r="G24" i="8"/>
  <c r="G17" i="8"/>
  <c r="G25" i="8"/>
  <c r="G16" i="8"/>
  <c r="G5" i="8"/>
  <c r="G14" i="8"/>
  <c r="G26" i="8"/>
  <c r="G4" i="8"/>
  <c r="G3" i="8"/>
  <c r="G15" i="8"/>
  <c r="G7" i="8"/>
  <c r="G6" i="8"/>
  <c r="G21" i="8"/>
  <c r="G18" i="8"/>
  <c r="G8" i="8"/>
  <c r="G13" i="8"/>
  <c r="G9" i="8"/>
  <c r="G11" i="8"/>
  <c r="G23" i="8"/>
  <c r="G20" i="8"/>
  <c r="G19" i="8"/>
  <c r="G22" i="8"/>
  <c r="G10" i="8"/>
  <c r="X12" i="8"/>
</calcChain>
</file>

<file path=xl/sharedStrings.xml><?xml version="1.0" encoding="utf-8"?>
<sst xmlns="http://schemas.openxmlformats.org/spreadsheetml/2006/main" count="320" uniqueCount="113">
  <si>
    <t>Rowid</t>
  </si>
  <si>
    <t>SUBBASIN</t>
  </si>
  <si>
    <t>COUNT</t>
  </si>
  <si>
    <t>AREA</t>
  </si>
  <si>
    <t>MIN</t>
  </si>
  <si>
    <t>MAX</t>
  </si>
  <si>
    <t>RANGE</t>
  </si>
  <si>
    <t>MEAN</t>
  </si>
  <si>
    <t>VALUE</t>
  </si>
  <si>
    <t>AREA m2</t>
  </si>
  <si>
    <t>area ha</t>
  </si>
  <si>
    <t>0.621 - 1.8 - Very Low</t>
  </si>
  <si>
    <t>1.81 - 2.6 - Low</t>
  </si>
  <si>
    <t>2.61 - 3.4 - Medium</t>
  </si>
  <si>
    <t>3.41 - 4.2 - High</t>
  </si>
  <si>
    <t>4.2 - 5.0 Very High</t>
  </si>
  <si>
    <t>Q7,10 (m3/s)</t>
  </si>
  <si>
    <t>area m2</t>
  </si>
  <si>
    <t>0.0004 - 0.0484</t>
  </si>
  <si>
    <t>0.0485 - 0.0828</t>
  </si>
  <si>
    <t>0.0829 - 0.141</t>
  </si>
  <si>
    <t>0.145 - 0.206</t>
  </si>
  <si>
    <t>0.207 - 0.383</t>
  </si>
  <si>
    <t>Classes</t>
  </si>
  <si>
    <t>rea_m2</t>
  </si>
  <si>
    <t>Area_ha</t>
  </si>
  <si>
    <t>0.0001 - 47</t>
  </si>
  <si>
    <t>47.1 - 49</t>
  </si>
  <si>
    <t>49.1 - 52</t>
  </si>
  <si>
    <t>52.01 - 61</t>
  </si>
  <si>
    <t>Land use/occupation</t>
  </si>
  <si>
    <r>
      <t>Area (km</t>
    </r>
    <r>
      <rPr>
        <b/>
        <vertAlign val="super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>)</t>
    </r>
  </si>
  <si>
    <t>Percentage (%)</t>
  </si>
  <si>
    <t>Forest formation</t>
  </si>
  <si>
    <t>OID</t>
  </si>
  <si>
    <t>LULC</t>
  </si>
  <si>
    <t>area km 2</t>
  </si>
  <si>
    <t>Forestry</t>
  </si>
  <si>
    <t>Áreas não Vegetadas/Aquicultura/Água Superfic (Non-vegetated areas)</t>
  </si>
  <si>
    <t>Floodplain</t>
  </si>
  <si>
    <t>Infraestrutura Urbana (Urban infrastructure)</t>
  </si>
  <si>
    <t>Pasture</t>
  </si>
  <si>
    <t>Cultura Temporária (Temporary crops (sugarcane))</t>
  </si>
  <si>
    <t>Temporary crops (sugarcane)</t>
  </si>
  <si>
    <t>Mosaico de Agricultura e Pastagem (Mosaic of agriculture and pasture)</t>
  </si>
  <si>
    <t>Mosaic of agriculture and pasture</t>
  </si>
  <si>
    <t>Pastagem (Pasture)</t>
  </si>
  <si>
    <t>Urban infrastructure</t>
  </si>
  <si>
    <t>Silvicultura (Forestry)</t>
  </si>
  <si>
    <t>Non-vegetated areas</t>
  </si>
  <si>
    <t>Cultura Perenes (Perennial crops)</t>
  </si>
  <si>
    <t>Aquaculture</t>
  </si>
  <si>
    <t>Várzea (Floodplain)</t>
  </si>
  <si>
    <t>Drainage Network</t>
  </si>
  <si>
    <t>Formação Florestal (Forest formation)</t>
  </si>
  <si>
    <t>Perennial Crops</t>
  </si>
  <si>
    <t>Total</t>
  </si>
  <si>
    <t>PUC</t>
  </si>
  <si>
    <t>Sub-basin</t>
  </si>
  <si>
    <t>Rating PUC</t>
  </si>
  <si>
    <t>Rating recharge/springs</t>
  </si>
  <si>
    <t>SOC (t/ha)</t>
  </si>
  <si>
    <t>Rating SOC</t>
  </si>
  <si>
    <t>Rating Biodiversity</t>
  </si>
  <si>
    <t>ES</t>
  </si>
  <si>
    <t>EFP</t>
  </si>
  <si>
    <t>PUC EQ</t>
  </si>
  <si>
    <t>ES EQ</t>
  </si>
  <si>
    <r>
      <t>AREA (m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>)</t>
    </r>
  </si>
  <si>
    <r>
      <t>Q</t>
    </r>
    <r>
      <rPr>
        <b/>
        <vertAlign val="subscript"/>
        <sz val="10"/>
        <rFont val="Times New Roman"/>
        <family val="1"/>
      </rPr>
      <t>7,10</t>
    </r>
    <r>
      <rPr>
        <b/>
        <sz val="10"/>
        <rFont val="Times New Roman"/>
        <family val="1"/>
      </rPr>
      <t xml:space="preserve"> (m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/s)</t>
    </r>
  </si>
  <si>
    <r>
      <t>Rating Q</t>
    </r>
    <r>
      <rPr>
        <b/>
        <vertAlign val="subscript"/>
        <sz val="10"/>
        <rFont val="Times New Roman"/>
        <family val="1"/>
      </rPr>
      <t>7,10</t>
    </r>
  </si>
  <si>
    <t>CUP</t>
  </si>
  <si>
    <t>Slope</t>
  </si>
  <si>
    <t>Soil</t>
  </si>
  <si>
    <t>Lithology</t>
  </si>
  <si>
    <t>ES1 (Recharge /Springs)</t>
  </si>
  <si>
    <t>ES3 (Soil organic carbon)</t>
  </si>
  <si>
    <t>ES4 (Land use / Biodiversity)</t>
  </si>
  <si>
    <t>Global</t>
  </si>
  <si>
    <t>Attributes (raw)</t>
  </si>
  <si>
    <t>Attributes (normalized)</t>
  </si>
  <si>
    <r>
      <t>ES2 (Stream flow (Q</t>
    </r>
    <r>
      <rPr>
        <vertAlign val="subscript"/>
        <sz val="10"/>
        <color rgb="FF000000"/>
        <rFont val="Calibri"/>
        <family val="2"/>
      </rPr>
      <t>7,10</t>
    </r>
    <r>
      <rPr>
        <sz val="10"/>
        <color rgb="FF000000"/>
        <rFont val="Calibri"/>
        <family val="2"/>
      </rPr>
      <t>))</t>
    </r>
  </si>
  <si>
    <t>EFP_0.9</t>
  </si>
  <si>
    <t>EFP_0.92</t>
  </si>
  <si>
    <t>EFP_0.94</t>
  </si>
  <si>
    <t>EFP_0.96</t>
  </si>
  <si>
    <t>EFP_0.98</t>
  </si>
  <si>
    <t>EFP_1.00</t>
  </si>
  <si>
    <t>EFP_1.02</t>
  </si>
  <si>
    <t>EFP_0.04</t>
  </si>
  <si>
    <t>EFP_0.06</t>
  </si>
  <si>
    <t>EFP_0.08</t>
  </si>
  <si>
    <t>EFP_1.1</t>
  </si>
  <si>
    <t>Parameter</t>
  </si>
  <si>
    <t>Min</t>
  </si>
  <si>
    <t>Max</t>
  </si>
  <si>
    <t>Var(%)</t>
  </si>
  <si>
    <r>
      <t>ES2 (Stream flow (Q</t>
    </r>
    <r>
      <rPr>
        <b/>
        <vertAlign val="subscript"/>
        <sz val="10"/>
        <color rgb="FF000000"/>
        <rFont val="Times New Roman"/>
        <family val="1"/>
      </rPr>
      <t>7,10</t>
    </r>
    <r>
      <rPr>
        <b/>
        <sz val="10"/>
        <color rgb="FF000000"/>
        <rFont val="Times New Roman"/>
        <family val="1"/>
      </rPr>
      <t>))</t>
    </r>
  </si>
  <si>
    <t>0.9CUP</t>
  </si>
  <si>
    <t>0.92CUP</t>
  </si>
  <si>
    <t>0.94CUP</t>
  </si>
  <si>
    <t>0.96CUP</t>
  </si>
  <si>
    <t>0.98CUP</t>
  </si>
  <si>
    <t>1.00CUP</t>
  </si>
  <si>
    <t>1.02CUP</t>
  </si>
  <si>
    <t>1.04CUP</t>
  </si>
  <si>
    <t>1.06CUP</t>
  </si>
  <si>
    <t>1.08CUP</t>
  </si>
  <si>
    <t>1.10CUP</t>
  </si>
  <si>
    <t>ES1</t>
  </si>
  <si>
    <t>ES2</t>
  </si>
  <si>
    <t>ES3</t>
  </si>
  <si>
    <t>ES4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</si>
</sst>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bscript"/>
      <sz val="10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sz val="8"/>
      <name val="Arial"/>
      <family val="2"/>
    </font>
    <font>
      <b/>
      <sz val="10"/>
      <color rgb="FF000000"/>
      <name val="Times New Roman"/>
      <family val="1"/>
    </font>
    <font>
      <b/>
      <vertAlign val="subscript"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2" fontId="1" fillId="0" borderId="0" xfId="0" applyNumberFormat="1" applyFont="1" applyFill="1" applyBorder="1" applyAlignment="1" applyProtection="1"/>
    <xf numFmtId="2" fontId="0" fillId="0" borderId="0" xfId="0" applyNumberFormat="1" applyFill="1"/>
    <xf numFmtId="0" fontId="0" fillId="0" borderId="0" xfId="0" applyFill="1"/>
    <xf numFmtId="164" fontId="3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Border="1" applyAlignment="1" applyProtection="1">
      <alignment horizontal="center"/>
    </xf>
    <xf numFmtId="164" fontId="1" fillId="4" borderId="0" xfId="0" applyNumberFormat="1" applyFont="1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8" fillId="2" borderId="5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 applyProtection="1">
      <alignment horizontal="center"/>
    </xf>
    <xf numFmtId="164" fontId="11" fillId="0" borderId="5" xfId="0" applyNumberFormat="1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center"/>
    </xf>
    <xf numFmtId="2" fontId="11" fillId="0" borderId="5" xfId="0" applyNumberFormat="1" applyFont="1" applyFill="1" applyBorder="1" applyAlignment="1" applyProtection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8" fillId="5" borderId="5" xfId="0" applyFont="1" applyFill="1" applyBorder="1" applyAlignment="1" applyProtection="1">
      <alignment horizontal="center" vertical="center" wrapText="1"/>
    </xf>
    <xf numFmtId="1" fontId="11" fillId="5" borderId="5" xfId="0" applyNumberFormat="1" applyFont="1" applyFill="1" applyBorder="1" applyAlignment="1" applyProtection="1">
      <alignment horizontal="center"/>
    </xf>
    <xf numFmtId="0" fontId="11" fillId="5" borderId="5" xfId="0" applyFont="1" applyFill="1" applyBorder="1" applyAlignment="1" applyProtection="1">
      <alignment horizontal="center"/>
    </xf>
    <xf numFmtId="0" fontId="11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7" fillId="0" borderId="0" xfId="0" applyFont="1"/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2" fontId="12" fillId="6" borderId="5" xfId="0" applyNumberFormat="1" applyFont="1" applyFill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2" fillId="3" borderId="0" xfId="0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1" fillId="6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>
      <alignment horizontal="center"/>
    </xf>
    <xf numFmtId="2" fontId="1" fillId="6" borderId="0" xfId="0" applyNumberFormat="1" applyFont="1" applyFill="1" applyBorder="1" applyAlignment="1" applyProtection="1">
      <alignment horizontal="center"/>
    </xf>
    <xf numFmtId="0" fontId="11" fillId="0" borderId="5" xfId="0" applyFont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165" fontId="0" fillId="0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7270341207349"/>
          <c:y val="5.0925925925925923E-2"/>
          <c:w val="0.82165507436570429"/>
          <c:h val="0.70278506853310008"/>
        </c:manualLayout>
      </c:layout>
      <c:scatterChart>
        <c:scatterStyle val="lineMarker"/>
        <c:varyColors val="0"/>
        <c:ser>
          <c:idx val="0"/>
          <c:order val="0"/>
          <c:tx>
            <c:v>Sub-basins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'MEAN ANALYSIS'!$N$2:$N$26</c:f>
              <c:numCache>
                <c:formatCode>0.0</c:formatCode>
                <c:ptCount val="25"/>
                <c:pt idx="0">
                  <c:v>2.5591414590747332</c:v>
                </c:pt>
                <c:pt idx="1">
                  <c:v>2.8385252492257829</c:v>
                </c:pt>
                <c:pt idx="2">
                  <c:v>2.7003932878867332</c:v>
                </c:pt>
                <c:pt idx="3">
                  <c:v>2.7170302974529257</c:v>
                </c:pt>
                <c:pt idx="4">
                  <c:v>2.5929091675194123</c:v>
                </c:pt>
                <c:pt idx="5">
                  <c:v>2.5416041046146312</c:v>
                </c:pt>
                <c:pt idx="6">
                  <c:v>2.9358850928336309</c:v>
                </c:pt>
                <c:pt idx="7">
                  <c:v>2.7149396768004723</c:v>
                </c:pt>
                <c:pt idx="8">
                  <c:v>2.5997836781689405</c:v>
                </c:pt>
                <c:pt idx="9">
                  <c:v>2.5629413018255867</c:v>
                </c:pt>
                <c:pt idx="10">
                  <c:v>2.6251677852348991</c:v>
                </c:pt>
                <c:pt idx="11">
                  <c:v>2.560167818361303</c:v>
                </c:pt>
                <c:pt idx="12">
                  <c:v>2.6058381420531451</c:v>
                </c:pt>
                <c:pt idx="13">
                  <c:v>2.5012326640658511</c:v>
                </c:pt>
                <c:pt idx="14">
                  <c:v>2.9541921657866252</c:v>
                </c:pt>
                <c:pt idx="15">
                  <c:v>2.490089440276976</c:v>
                </c:pt>
                <c:pt idx="16">
                  <c:v>2.4962514142467334</c:v>
                </c:pt>
                <c:pt idx="17">
                  <c:v>2.5961898475939038</c:v>
                </c:pt>
                <c:pt idx="18">
                  <c:v>2.5872155597266784</c:v>
                </c:pt>
                <c:pt idx="19">
                  <c:v>2.5652082160945415</c:v>
                </c:pt>
                <c:pt idx="20">
                  <c:v>2.5781907575952667</c:v>
                </c:pt>
                <c:pt idx="21">
                  <c:v>2.8881798703439183</c:v>
                </c:pt>
                <c:pt idx="22">
                  <c:v>3.0145213236759303</c:v>
                </c:pt>
                <c:pt idx="23">
                  <c:v>2.8328204788632547</c:v>
                </c:pt>
                <c:pt idx="24">
                  <c:v>2.6730696361906743</c:v>
                </c:pt>
              </c:numCache>
            </c:numRef>
          </c:xVal>
          <c:yVal>
            <c:numRef>
              <c:f>'MEAN ANALYSIS'!$O$2:$O$26</c:f>
              <c:numCache>
                <c:formatCode>0.0</c:formatCode>
                <c:ptCount val="25"/>
                <c:pt idx="0">
                  <c:v>2</c:v>
                </c:pt>
                <c:pt idx="1">
                  <c:v>2.4000000000000004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2.4000000000000004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0D-453C-A016-1CDA43CC1F8C}"/>
            </c:ext>
          </c:extLst>
        </c:ser>
        <c:ser>
          <c:idx val="1"/>
          <c:order val="1"/>
          <c:tx>
            <c:v>Median line</c:v>
          </c:tx>
          <c:spPr>
            <a:ln w="254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'MEAN ANALYSIS'!$Q$2:$Q$3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5.0999999999999996</c:v>
                </c:pt>
              </c:numCache>
            </c:numRef>
          </c:xVal>
          <c:yVal>
            <c:numRef>
              <c:f>'MEAN ANALYSIS'!$R$2:$R$3</c:f>
              <c:numCache>
                <c:formatCode>General</c:formatCode>
                <c:ptCount val="2"/>
                <c:pt idx="0">
                  <c:v>1.6</c:v>
                </c:pt>
                <c:pt idx="1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0D-453C-A016-1CDA43CC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950216"/>
        <c:axId val="715950576"/>
      </c:scatterChart>
      <c:valAx>
        <c:axId val="715950216"/>
        <c:scaling>
          <c:orientation val="minMax"/>
          <c:max val="5.0999999999999996"/>
          <c:min val="1.10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Ecosystem services (ES)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950576"/>
        <c:crosses val="autoZero"/>
        <c:crossBetween val="midCat"/>
        <c:majorUnit val="1.33"/>
      </c:valAx>
      <c:valAx>
        <c:axId val="715950576"/>
        <c:scaling>
          <c:orientation val="minMax"/>
          <c:max val="3.2"/>
          <c:min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Conservation Use Potential (CUP)</a:t>
                </a:r>
              </a:p>
            </c:rich>
          </c:tx>
          <c:layout>
            <c:manualLayout>
              <c:xMode val="edge"/>
              <c:yMode val="edge"/>
              <c:x val="7.4540682414698167E-4"/>
              <c:y val="8.16298586967207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15950216"/>
        <c:crosses val="autoZero"/>
        <c:crossBetween val="midCat"/>
        <c:majorUnit val="0.53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28211636045494315"/>
          <c:y val="0.92191965587634883"/>
          <c:w val="0.48576727909011375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6</xdr:col>
      <xdr:colOff>69850</xdr:colOff>
      <xdr:row>58</xdr:row>
      <xdr:rowOff>155575</xdr:rowOff>
    </xdr:to>
    <xdr:pic>
      <xdr:nvPicPr>
        <xdr:cNvPr id="1028" name="Imagem 1">
          <a:extLst>
            <a:ext uri="{FF2B5EF4-FFF2-40B4-BE49-F238E27FC236}">
              <a16:creationId xmlns:a16="http://schemas.microsoft.com/office/drawing/2014/main" id="{9265D1E4-69E0-0FE6-1180-D01D2E29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8100"/>
          <a:ext cx="6775450" cy="461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116516</xdr:colOff>
      <xdr:row>41</xdr:row>
      <xdr:rowOff>5464</xdr:rowOff>
    </xdr:from>
    <xdr:to>
      <xdr:col>10</xdr:col>
      <xdr:colOff>336772</xdr:colOff>
      <xdr:row>58</xdr:row>
      <xdr:rowOff>46739</xdr:rowOff>
    </xdr:to>
    <xdr:pic>
      <xdr:nvPicPr>
        <xdr:cNvPr id="1029" name="Imagem 2">
          <a:extLst>
            <a:ext uri="{FF2B5EF4-FFF2-40B4-BE49-F238E27FC236}">
              <a16:creationId xmlns:a16="http://schemas.microsoft.com/office/drawing/2014/main" id="{A7A360CE-9CD4-4F7C-444E-CFE809FB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952" y="6816947"/>
          <a:ext cx="3136826" cy="2865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26</xdr:row>
      <xdr:rowOff>104775</xdr:rowOff>
    </xdr:from>
    <xdr:to>
      <xdr:col>13</xdr:col>
      <xdr:colOff>546100</xdr:colOff>
      <xdr:row>54</xdr:row>
      <xdr:rowOff>6350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1365F0-B6F4-4F00-A5F6-758F87D1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" y="4397375"/>
          <a:ext cx="762317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36285</xdr:colOff>
      <xdr:row>26</xdr:row>
      <xdr:rowOff>113392</xdr:rowOff>
    </xdr:from>
    <xdr:to>
      <xdr:col>5</xdr:col>
      <xdr:colOff>1013213</xdr:colOff>
      <xdr:row>52</xdr:row>
      <xdr:rowOff>68035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15C273-3CB1-4143-9224-A6454582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" y="4358821"/>
          <a:ext cx="6555857" cy="4200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6</xdr:col>
      <xdr:colOff>857250</xdr:colOff>
      <xdr:row>56</xdr:row>
      <xdr:rowOff>66675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5936B98-764C-4460-A57E-C0FC6AFF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53000"/>
          <a:ext cx="6445250" cy="435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390525</xdr:colOff>
      <xdr:row>56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17F5D8-5859-4718-87CE-1292D1F47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"/>
          <a:ext cx="7096125" cy="465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638175</xdr:colOff>
      <xdr:row>59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652A42-04FA-41FE-B0AC-F9D3C907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7343775" cy="486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38</xdr:row>
      <xdr:rowOff>38100</xdr:rowOff>
    </xdr:from>
    <xdr:to>
      <xdr:col>7</xdr:col>
      <xdr:colOff>688975</xdr:colOff>
      <xdr:row>45</xdr:row>
      <xdr:rowOff>107950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94DE1F-84D2-4B1C-AB99-474481E5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6311900"/>
          <a:ext cx="1685925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163512</xdr:colOff>
      <xdr:row>8</xdr:row>
      <xdr:rowOff>158750</xdr:rowOff>
    </xdr:from>
    <xdr:to>
      <xdr:col>22</xdr:col>
      <xdr:colOff>468312</xdr:colOff>
      <xdr:row>25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FA8D83-8E1E-4CC2-ADB1-1CF9E64F3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0"/>
  <sheetViews>
    <sheetView zoomScale="86" zoomScaleNormal="86" workbookViewId="0">
      <pane ySplit="1" topLeftCell="A2" activePane="bottomLeft" state="frozen"/>
      <selection pane="bottomLeft" activeCell="I41" sqref="I41"/>
    </sheetView>
  </sheetViews>
  <sheetFormatPr defaultRowHeight="13" x14ac:dyDescent="0.6"/>
  <cols>
    <col min="1" max="7" width="16" style="17" customWidth="1"/>
    <col min="8" max="8" width="20" style="17" bestFit="1" customWidth="1"/>
    <col min="9" max="9" width="9.26953125" style="17" customWidth="1"/>
    <col min="10" max="10" width="12.54296875" style="17" bestFit="1" customWidth="1"/>
    <col min="11" max="16384" width="8.7265625" style="17"/>
  </cols>
  <sheetData>
    <row r="1" spans="1:7" x14ac:dyDescent="0.6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55" t="s">
        <v>7</v>
      </c>
    </row>
    <row r="2" spans="1:7" x14ac:dyDescent="0.6">
      <c r="A2" s="56">
        <v>1</v>
      </c>
      <c r="B2" s="58">
        <v>66473</v>
      </c>
      <c r="C2" s="58">
        <v>10386406.25</v>
      </c>
      <c r="D2" s="58">
        <v>2.6210000514984131</v>
      </c>
      <c r="E2" s="58">
        <v>4.6739997863769531</v>
      </c>
      <c r="F2" s="58">
        <v>2.05299973487854</v>
      </c>
      <c r="G2" s="59">
        <v>4.165789373117577</v>
      </c>
    </row>
    <row r="3" spans="1:7" x14ac:dyDescent="0.6">
      <c r="A3" s="56">
        <v>2</v>
      </c>
      <c r="B3" s="58">
        <v>158163</v>
      </c>
      <c r="C3" s="58">
        <v>24712968.75</v>
      </c>
      <c r="D3" s="58">
        <v>1.1430000066757202</v>
      </c>
      <c r="E3" s="58">
        <v>4.2030000686645508</v>
      </c>
      <c r="F3" s="58">
        <v>3.0600000619888306</v>
      </c>
      <c r="G3" s="59">
        <v>3.3626827856574568</v>
      </c>
    </row>
    <row r="4" spans="1:7" x14ac:dyDescent="0.6">
      <c r="A4" s="56">
        <v>3</v>
      </c>
      <c r="B4" s="58">
        <v>75884</v>
      </c>
      <c r="C4" s="58">
        <v>11856875</v>
      </c>
      <c r="D4" s="58">
        <v>2.7029998302459717</v>
      </c>
      <c r="E4" s="58">
        <v>4.4759998321533203</v>
      </c>
      <c r="F4" s="58">
        <v>1.7730000019073486</v>
      </c>
      <c r="G4" s="59">
        <v>3.514907879659368</v>
      </c>
    </row>
    <row r="5" spans="1:7" x14ac:dyDescent="0.6">
      <c r="A5" s="56">
        <v>4</v>
      </c>
      <c r="B5" s="58">
        <v>530045</v>
      </c>
      <c r="C5" s="58">
        <v>82819531.25</v>
      </c>
      <c r="D5" s="58">
        <v>1.1430000066757202</v>
      </c>
      <c r="E5" s="58">
        <v>4.6739997863769531</v>
      </c>
      <c r="F5" s="58">
        <v>3.5309997797012329</v>
      </c>
      <c r="G5" s="59">
        <v>3.5596108411062355</v>
      </c>
    </row>
    <row r="6" spans="1:7" x14ac:dyDescent="0.6">
      <c r="A6" s="56">
        <v>5</v>
      </c>
      <c r="B6" s="58">
        <v>182115</v>
      </c>
      <c r="C6" s="58">
        <v>28455468.75</v>
      </c>
      <c r="D6" s="58">
        <v>2.6739997863769531</v>
      </c>
      <c r="E6" s="58">
        <v>4.6739997863769531</v>
      </c>
      <c r="F6" s="58">
        <v>2</v>
      </c>
      <c r="G6" s="59">
        <v>4.1261095798824332</v>
      </c>
    </row>
    <row r="7" spans="1:7" x14ac:dyDescent="0.6">
      <c r="A7" s="56">
        <v>6</v>
      </c>
      <c r="B7" s="58">
        <v>98036</v>
      </c>
      <c r="C7" s="58">
        <v>15318125</v>
      </c>
      <c r="D7" s="58">
        <v>1.1430000066757202</v>
      </c>
      <c r="E7" s="58">
        <v>4.6739997863769531</v>
      </c>
      <c r="F7" s="58">
        <v>3.5309997797012329</v>
      </c>
      <c r="G7" s="59">
        <v>3.9306311424162099</v>
      </c>
    </row>
    <row r="8" spans="1:7" x14ac:dyDescent="0.6">
      <c r="A8" s="56">
        <v>7</v>
      </c>
      <c r="B8" s="58">
        <v>185529</v>
      </c>
      <c r="C8" s="58">
        <v>28988906.25</v>
      </c>
      <c r="D8" s="58">
        <v>0.62099999189376831</v>
      </c>
      <c r="E8" s="58">
        <v>4.4759998321533203</v>
      </c>
      <c r="F8" s="58">
        <v>3.854999840259552</v>
      </c>
      <c r="G8" s="59">
        <v>3.063689441096495</v>
      </c>
    </row>
    <row r="9" spans="1:7" x14ac:dyDescent="0.6">
      <c r="A9" s="56">
        <v>8</v>
      </c>
      <c r="B9" s="58">
        <v>271040</v>
      </c>
      <c r="C9" s="58">
        <v>42350000</v>
      </c>
      <c r="D9" s="58">
        <v>2.7029998302459717</v>
      </c>
      <c r="E9" s="58">
        <v>4.6739997863769531</v>
      </c>
      <c r="F9" s="58">
        <v>1.9709999561309814</v>
      </c>
      <c r="G9" s="59">
        <v>3.7854079063748665</v>
      </c>
    </row>
    <row r="10" spans="1:7" x14ac:dyDescent="0.6">
      <c r="A10" s="56">
        <v>9</v>
      </c>
      <c r="B10" s="58">
        <v>143120</v>
      </c>
      <c r="C10" s="58">
        <v>22362500</v>
      </c>
      <c r="D10" s="58">
        <v>2.9759995937347412</v>
      </c>
      <c r="E10" s="58">
        <v>4.6739997863769531</v>
      </c>
      <c r="F10" s="58">
        <v>1.6980001926422119</v>
      </c>
      <c r="G10" s="59">
        <v>4.0128021621917336</v>
      </c>
    </row>
    <row r="11" spans="1:7" x14ac:dyDescent="0.6">
      <c r="A11" s="56">
        <v>10</v>
      </c>
      <c r="B11" s="58">
        <v>42233</v>
      </c>
      <c r="C11" s="58">
        <v>6598906.25</v>
      </c>
      <c r="D11" s="58">
        <v>2.7029998302459717</v>
      </c>
      <c r="E11" s="58">
        <v>4.4759998321533203</v>
      </c>
      <c r="F11" s="58">
        <v>1.7730000019073486</v>
      </c>
      <c r="G11" s="59">
        <v>3.6037091877369423</v>
      </c>
    </row>
    <row r="12" spans="1:7" x14ac:dyDescent="0.6">
      <c r="A12" s="56">
        <v>11</v>
      </c>
      <c r="B12" s="58">
        <v>745</v>
      </c>
      <c r="C12" s="58">
        <v>116406.25</v>
      </c>
      <c r="D12" s="58">
        <v>3.6739997863769531</v>
      </c>
      <c r="E12" s="58">
        <v>4.6739997863769531</v>
      </c>
      <c r="F12" s="58">
        <v>1</v>
      </c>
      <c r="G12" s="59">
        <v>4.0437984440950743</v>
      </c>
    </row>
    <row r="13" spans="1:7" x14ac:dyDescent="0.6">
      <c r="A13" s="56">
        <v>12</v>
      </c>
      <c r="B13" s="58">
        <v>51663</v>
      </c>
      <c r="C13" s="58">
        <v>8072343.75</v>
      </c>
      <c r="D13" s="58">
        <v>2.7029998302459717</v>
      </c>
      <c r="E13" s="58">
        <v>4.4759998321533203</v>
      </c>
      <c r="F13" s="58">
        <v>1.7730000019073486</v>
      </c>
      <c r="G13" s="59">
        <v>3.6453713603503632</v>
      </c>
    </row>
    <row r="14" spans="1:7" x14ac:dyDescent="0.6">
      <c r="A14" s="56">
        <v>13</v>
      </c>
      <c r="B14" s="58">
        <v>70185</v>
      </c>
      <c r="C14" s="58">
        <v>10966406.25</v>
      </c>
      <c r="D14" s="58">
        <v>2.6809999942779541</v>
      </c>
      <c r="E14" s="58">
        <v>4.2030000686645508</v>
      </c>
      <c r="F14" s="58">
        <v>1.5220000743865967</v>
      </c>
      <c r="G14" s="59">
        <v>3.4960142085548309</v>
      </c>
    </row>
    <row r="15" spans="1:7" x14ac:dyDescent="0.6">
      <c r="A15" s="56">
        <v>14</v>
      </c>
      <c r="B15" s="58">
        <v>48959</v>
      </c>
      <c r="C15" s="58">
        <v>7649843.75</v>
      </c>
      <c r="D15" s="58">
        <v>2.6739997863769531</v>
      </c>
      <c r="E15" s="58">
        <v>4.6739997863769531</v>
      </c>
      <c r="F15" s="58">
        <v>2</v>
      </c>
      <c r="G15" s="59">
        <v>4.0354025537626459</v>
      </c>
    </row>
    <row r="16" spans="1:7" x14ac:dyDescent="0.6">
      <c r="A16" s="56">
        <v>15</v>
      </c>
      <c r="B16" s="58">
        <v>135206</v>
      </c>
      <c r="C16" s="58">
        <v>21125937.5</v>
      </c>
      <c r="D16" s="58">
        <v>1.1210000514984131</v>
      </c>
      <c r="E16" s="58">
        <v>4.2030000686645508</v>
      </c>
      <c r="F16" s="58">
        <v>3.0820000171661377</v>
      </c>
      <c r="G16" s="59">
        <v>3.4074058817464281</v>
      </c>
    </row>
    <row r="17" spans="1:7" x14ac:dyDescent="0.6">
      <c r="A17" s="56">
        <v>16</v>
      </c>
      <c r="B17" s="58">
        <v>24262</v>
      </c>
      <c r="C17" s="58">
        <v>3790937.5</v>
      </c>
      <c r="D17" s="58">
        <v>2.6739997863769531</v>
      </c>
      <c r="E17" s="58">
        <v>4.6739997863769531</v>
      </c>
      <c r="F17" s="58">
        <v>2</v>
      </c>
      <c r="G17" s="59">
        <v>4.0944661101507993</v>
      </c>
    </row>
    <row r="18" spans="1:7" x14ac:dyDescent="0.6">
      <c r="A18" s="56">
        <v>17</v>
      </c>
      <c r="B18" s="58">
        <v>89402</v>
      </c>
      <c r="C18" s="58">
        <v>13969062.5</v>
      </c>
      <c r="D18" s="58">
        <v>2.1429998874664307</v>
      </c>
      <c r="E18" s="58">
        <v>4.6739997863769531</v>
      </c>
      <c r="F18" s="58">
        <v>2.5309998989105225</v>
      </c>
      <c r="G18" s="59">
        <v>4.0156945623526603</v>
      </c>
    </row>
    <row r="19" spans="1:7" x14ac:dyDescent="0.6">
      <c r="A19" s="56">
        <v>18</v>
      </c>
      <c r="B19" s="58">
        <v>83330</v>
      </c>
      <c r="C19" s="58">
        <v>13020312.5</v>
      </c>
      <c r="D19" s="58">
        <v>2.7029998302459717</v>
      </c>
      <c r="E19" s="58">
        <v>4.4759998321533203</v>
      </c>
      <c r="F19" s="58">
        <v>1.7730000019073486</v>
      </c>
      <c r="G19" s="59">
        <v>3.6908833591245336</v>
      </c>
    </row>
    <row r="20" spans="1:7" x14ac:dyDescent="0.6">
      <c r="A20" s="56">
        <v>19</v>
      </c>
      <c r="B20" s="58">
        <v>108151</v>
      </c>
      <c r="C20" s="58">
        <v>16898593.75</v>
      </c>
      <c r="D20" s="58">
        <v>2.7029998302459717</v>
      </c>
      <c r="E20" s="58">
        <v>4.6739997863769531</v>
      </c>
      <c r="F20" s="58">
        <v>1.9709999561309814</v>
      </c>
      <c r="G20" s="59">
        <v>3.8831819247439352</v>
      </c>
    </row>
    <row r="21" spans="1:7" x14ac:dyDescent="0.6">
      <c r="A21" s="56">
        <v>20</v>
      </c>
      <c r="B21" s="58">
        <v>53310</v>
      </c>
      <c r="C21" s="58">
        <v>8329687.5</v>
      </c>
      <c r="D21" s="58">
        <v>2.9759995937347412</v>
      </c>
      <c r="E21" s="58">
        <v>4.6739997863769531</v>
      </c>
      <c r="F21" s="58">
        <v>1.6980001926422119</v>
      </c>
      <c r="G21" s="59">
        <v>4.0804293064569315</v>
      </c>
    </row>
    <row r="22" spans="1:7" x14ac:dyDescent="0.6">
      <c r="A22" s="56">
        <v>21</v>
      </c>
      <c r="B22" s="58">
        <v>147559</v>
      </c>
      <c r="C22" s="58">
        <v>23056093.75</v>
      </c>
      <c r="D22" s="58">
        <v>2.9759995937347412</v>
      </c>
      <c r="E22" s="58">
        <v>4.6739997863769531</v>
      </c>
      <c r="F22" s="58">
        <v>1.6980001926422119</v>
      </c>
      <c r="G22" s="59">
        <v>3.9536471913781672</v>
      </c>
    </row>
    <row r="23" spans="1:7" x14ac:dyDescent="0.6">
      <c r="A23" s="56">
        <v>22</v>
      </c>
      <c r="B23" s="58">
        <v>126701</v>
      </c>
      <c r="C23" s="58">
        <v>19797031.25</v>
      </c>
      <c r="D23" s="58">
        <v>2.1809999942779541</v>
      </c>
      <c r="E23" s="58">
        <v>4.4759998321533203</v>
      </c>
      <c r="F23" s="58">
        <v>2.2949998378753662</v>
      </c>
      <c r="G23" s="59">
        <v>3.5546391403831921</v>
      </c>
    </row>
    <row r="24" spans="1:7" x14ac:dyDescent="0.6">
      <c r="A24" s="56">
        <v>23</v>
      </c>
      <c r="B24" s="58">
        <v>214251</v>
      </c>
      <c r="C24" s="58">
        <v>33476718.75</v>
      </c>
      <c r="D24" s="58">
        <v>2.9759995937347412</v>
      </c>
      <c r="E24" s="58">
        <v>4.6739997863769531</v>
      </c>
      <c r="F24" s="58">
        <v>1.6980001926422119</v>
      </c>
      <c r="G24" s="59">
        <v>4.0208501635666911</v>
      </c>
    </row>
    <row r="25" spans="1:7" x14ac:dyDescent="0.6">
      <c r="A25" s="56">
        <v>24</v>
      </c>
      <c r="B25" s="58">
        <v>255857</v>
      </c>
      <c r="C25" s="58">
        <v>39977656.25</v>
      </c>
      <c r="D25" s="58">
        <v>2.7029998302459717</v>
      </c>
      <c r="E25" s="58">
        <v>4.4759998321533203</v>
      </c>
      <c r="F25" s="58">
        <v>1.7730000019073486</v>
      </c>
      <c r="G25" s="59">
        <v>3.6668187192429413</v>
      </c>
    </row>
    <row r="26" spans="1:7" x14ac:dyDescent="0.6">
      <c r="A26" s="56">
        <v>25</v>
      </c>
      <c r="B26" s="58">
        <v>498952</v>
      </c>
      <c r="C26" s="58">
        <v>77961250</v>
      </c>
      <c r="D26" s="58">
        <v>1.340999960899353</v>
      </c>
      <c r="E26" s="58">
        <v>4.6739997863769531</v>
      </c>
      <c r="F26" s="58">
        <v>3.3329998254776001</v>
      </c>
      <c r="G26" s="59">
        <v>3.9659536931300057</v>
      </c>
    </row>
    <row r="35" spans="8:11" x14ac:dyDescent="0.6">
      <c r="H35" s="1" t="s">
        <v>8</v>
      </c>
      <c r="I35" s="1" t="s">
        <v>2</v>
      </c>
      <c r="J35" s="1" t="s">
        <v>9</v>
      </c>
      <c r="K35" s="17" t="s">
        <v>10</v>
      </c>
    </row>
    <row r="36" spans="8:11" x14ac:dyDescent="0.6">
      <c r="H36" s="56" t="s">
        <v>11</v>
      </c>
      <c r="I36" s="56">
        <v>50702</v>
      </c>
      <c r="J36" s="57">
        <v>7922187.5</v>
      </c>
      <c r="K36" s="60">
        <f>J36/10000</f>
        <v>792.21875</v>
      </c>
    </row>
    <row r="37" spans="8:11" x14ac:dyDescent="0.6">
      <c r="H37" s="56" t="s">
        <v>12</v>
      </c>
      <c r="I37" s="56">
        <v>103239</v>
      </c>
      <c r="J37" s="57">
        <v>16131093.75</v>
      </c>
      <c r="K37" s="60">
        <f>J37/10000</f>
        <v>1613.109375</v>
      </c>
    </row>
    <row r="38" spans="8:11" x14ac:dyDescent="0.6">
      <c r="H38" s="56" t="s">
        <v>13</v>
      </c>
      <c r="I38" s="56">
        <v>554859</v>
      </c>
      <c r="J38" s="57">
        <v>86696718.75</v>
      </c>
      <c r="K38" s="60">
        <f>J38/10000</f>
        <v>8669.671875</v>
      </c>
    </row>
    <row r="39" spans="8:11" x14ac:dyDescent="0.6">
      <c r="H39" s="56" t="s">
        <v>14</v>
      </c>
      <c r="I39" s="56">
        <v>2538805</v>
      </c>
      <c r="J39" s="57">
        <v>396688281.25</v>
      </c>
      <c r="K39" s="60">
        <f>J39/10000</f>
        <v>39668.828125</v>
      </c>
    </row>
    <row r="40" spans="8:11" x14ac:dyDescent="0.6">
      <c r="H40" s="56" t="s">
        <v>15</v>
      </c>
      <c r="I40" s="56">
        <v>413799</v>
      </c>
      <c r="J40" s="57">
        <v>64656093.75</v>
      </c>
      <c r="K40" s="60">
        <f>J40/10000</f>
        <v>6465.609375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16DC-431F-4662-BEFC-5CF110757636}">
  <dimension ref="A1:AR28"/>
  <sheetViews>
    <sheetView topLeftCell="J1" zoomScale="70" zoomScaleNormal="70" workbookViewId="0">
      <selection activeCell="X10" sqref="X10"/>
    </sheetView>
  </sheetViews>
  <sheetFormatPr defaultRowHeight="13" x14ac:dyDescent="0.6"/>
  <cols>
    <col min="1" max="1" width="8.2265625" style="45" customWidth="1"/>
    <col min="2" max="2" width="15.54296875" style="45" customWidth="1"/>
    <col min="3" max="3" width="8.04296875" style="45" customWidth="1"/>
    <col min="4" max="4" width="8.7265625" style="45"/>
    <col min="5" max="6" width="11" style="14" customWidth="1"/>
    <col min="7" max="7" width="7.26953125" style="14" bestFit="1" customWidth="1"/>
    <col min="8" max="16" width="8.1796875" style="14" bestFit="1" customWidth="1"/>
    <col min="17" max="17" width="7.26953125" style="14" bestFit="1" customWidth="1"/>
    <col min="18" max="18" width="20.40625" style="14" customWidth="1"/>
    <col min="19" max="21" width="8.7265625" style="14"/>
    <col min="22" max="22" width="28.36328125" style="14" customWidth="1"/>
    <col min="23" max="34" width="4.31640625" style="45" bestFit="1" customWidth="1"/>
    <col min="35" max="44" width="4.31640625" style="14" bestFit="1" customWidth="1"/>
    <col min="45" max="16384" width="8.7265625" style="14"/>
  </cols>
  <sheetData>
    <row r="1" spans="1:44" ht="28.5" x14ac:dyDescent="0.6">
      <c r="A1" s="43" t="s">
        <v>59</v>
      </c>
      <c r="B1" s="43" t="s">
        <v>60</v>
      </c>
      <c r="C1" s="43" t="s">
        <v>70</v>
      </c>
      <c r="D1" s="44" t="s">
        <v>62</v>
      </c>
      <c r="E1" s="43" t="s">
        <v>63</v>
      </c>
      <c r="F1" s="43" t="s">
        <v>65</v>
      </c>
      <c r="G1" s="43" t="s">
        <v>82</v>
      </c>
      <c r="H1" s="43" t="s">
        <v>83</v>
      </c>
      <c r="I1" s="43" t="s">
        <v>84</v>
      </c>
      <c r="J1" s="43" t="s">
        <v>85</v>
      </c>
      <c r="K1" s="43" t="s">
        <v>86</v>
      </c>
      <c r="L1" s="43" t="s">
        <v>87</v>
      </c>
      <c r="M1" s="43" t="s">
        <v>88</v>
      </c>
      <c r="N1" s="43" t="s">
        <v>89</v>
      </c>
      <c r="O1" s="43" t="s">
        <v>90</v>
      </c>
      <c r="P1" s="43" t="s">
        <v>91</v>
      </c>
      <c r="Q1" s="43" t="s">
        <v>92</v>
      </c>
      <c r="R1" s="70" t="s">
        <v>78</v>
      </c>
      <c r="S1" s="70"/>
      <c r="T1" s="48" t="s">
        <v>71</v>
      </c>
      <c r="U1" s="48" t="s">
        <v>64</v>
      </c>
      <c r="V1" s="47"/>
      <c r="W1" s="72">
        <v>0.9</v>
      </c>
      <c r="X1" s="71"/>
      <c r="Y1" s="71">
        <v>0.92</v>
      </c>
      <c r="Z1" s="71"/>
      <c r="AA1" s="71">
        <v>0.94</v>
      </c>
      <c r="AB1" s="71"/>
      <c r="AC1" s="71">
        <v>0.96</v>
      </c>
      <c r="AD1" s="71"/>
      <c r="AE1" s="71">
        <v>0.98</v>
      </c>
      <c r="AF1" s="71"/>
      <c r="AG1" s="71">
        <v>1</v>
      </c>
      <c r="AH1" s="71"/>
      <c r="AI1" s="71">
        <v>1</v>
      </c>
      <c r="AJ1" s="71"/>
      <c r="AK1" s="71">
        <v>1</v>
      </c>
      <c r="AL1" s="71"/>
      <c r="AM1" s="71">
        <v>1</v>
      </c>
      <c r="AN1" s="71"/>
      <c r="AO1" s="71">
        <v>1</v>
      </c>
      <c r="AP1" s="71"/>
      <c r="AQ1" s="71">
        <v>1</v>
      </c>
      <c r="AR1" s="71"/>
    </row>
    <row r="2" spans="1:44" ht="13.5" x14ac:dyDescent="0.65">
      <c r="A2" s="31">
        <v>5</v>
      </c>
      <c r="B2" s="33">
        <v>5</v>
      </c>
      <c r="C2" s="36">
        <v>3</v>
      </c>
      <c r="D2" s="36">
        <v>5</v>
      </c>
      <c r="E2" s="31">
        <v>3.6365658362989324</v>
      </c>
      <c r="F2" s="32">
        <f t="shared" ref="F2:F26" si="0">A2*T$12+B2*U$8+C2*U$9+D2*U$10+E2*U$11</f>
        <v>4.5591414590747332</v>
      </c>
      <c r="G2" s="34">
        <f t="shared" ref="G2:G26" si="1">$A2*W$12+$B2*X$8+$C2*X$9+$D2*X$10+$E2*X$11</f>
        <v>4.5591414590747323</v>
      </c>
      <c r="H2" s="34">
        <f t="shared" ref="H2:H26" si="2">$A2*Y$12+$B2*Z$8+$C2*Z$9+$D2*Z$10+$E2*Z$11</f>
        <v>4.5591414590747323</v>
      </c>
      <c r="I2" s="34">
        <f t="shared" ref="I2:I26" si="3">$A2*AA$12+$B2*AB$8+$C2*AB$9+$D2*AB$10+$E2*AB$11</f>
        <v>4.5591414590747332</v>
      </c>
      <c r="J2" s="34">
        <f t="shared" ref="J2:J26" si="4">$A2*AC$12+$B2*AD$8+$C2*AD$9+$D2*AD$10+$E2*AD$11</f>
        <v>4.5591414590747332</v>
      </c>
      <c r="K2" s="34">
        <f t="shared" ref="K2:K26" si="5">$A2*AE$12+$B2*AF$8+$C2*AF$9+$D2*AF$10+$E2*AF$11</f>
        <v>4.5591414590747332</v>
      </c>
      <c r="L2" s="34">
        <f t="shared" ref="L2:L26" si="6">$A2*AG$12+$B2*AH$8+$C2*AH$9+$D2*AH$10+$E2*AH$11</f>
        <v>4.5591414590747332</v>
      </c>
      <c r="M2" s="34">
        <f t="shared" ref="M2:M26" si="7">$A2*AI$12+$B2*AJ$8+$C2*AJ$9+$D2*AJ$10+$E2*AJ$11</f>
        <v>4.5591414590747332</v>
      </c>
      <c r="N2" s="34">
        <f t="shared" ref="N2:N26" si="8">$A2*AK$12+$B2*AL$8+$C2*AL$9+$D2*AL$10+$E2*AL$11</f>
        <v>4.5591414590747332</v>
      </c>
      <c r="O2" s="34">
        <f t="shared" ref="O2:O26" si="9">$A2*AM$12+$B2*AN$8+$C2*AN$9+$D2*AN$10+$E2*AN$11</f>
        <v>4.5591414590747332</v>
      </c>
      <c r="P2" s="34">
        <f t="shared" ref="P2:P26" si="10">$A2*AO$12+$B2*AP$8+$C2*AP$9+$D2*AP$10+$E2*AP$11</f>
        <v>4.5591414590747332</v>
      </c>
      <c r="Q2" s="34">
        <f t="shared" ref="Q2:Q26" si="11">$A2*AQ$12+$B2*AR$8+$C2*AR$9+$D2*AR$10+$E2*AR$11</f>
        <v>4.5591414590747332</v>
      </c>
      <c r="R2" s="70"/>
      <c r="S2" s="70"/>
      <c r="T2" s="47">
        <v>0.4</v>
      </c>
      <c r="U2" s="47">
        <v>0.6</v>
      </c>
      <c r="V2" s="47"/>
      <c r="W2" s="54">
        <f>$T2*0.9</f>
        <v>0.36000000000000004</v>
      </c>
      <c r="X2" s="54">
        <f>1-W2</f>
        <v>0.6399999999999999</v>
      </c>
      <c r="Y2" s="54">
        <f>$T2*0.92</f>
        <v>0.36800000000000005</v>
      </c>
      <c r="Z2" s="54">
        <f>1-Y2</f>
        <v>0.6319999999999999</v>
      </c>
      <c r="AA2" s="54">
        <f>$T2*0.94</f>
        <v>0.376</v>
      </c>
      <c r="AB2" s="54">
        <f>1-AA2</f>
        <v>0.624</v>
      </c>
      <c r="AC2" s="54">
        <f>$T2*0.96</f>
        <v>0.38400000000000001</v>
      </c>
      <c r="AD2" s="54">
        <f>1-AC2</f>
        <v>0.61599999999999999</v>
      </c>
      <c r="AE2" s="54">
        <f>$T2*0.98</f>
        <v>0.39200000000000002</v>
      </c>
      <c r="AF2" s="54">
        <f>1-AE2</f>
        <v>0.60799999999999998</v>
      </c>
      <c r="AG2" s="54">
        <f>$T2*1</f>
        <v>0.4</v>
      </c>
      <c r="AH2" s="54">
        <f>1-AG2</f>
        <v>0.6</v>
      </c>
      <c r="AI2" s="54">
        <f>$T2*1.02</f>
        <v>0.40800000000000003</v>
      </c>
      <c r="AJ2" s="54">
        <f>1-AI2</f>
        <v>0.59199999999999997</v>
      </c>
      <c r="AK2" s="54">
        <f>$T2*1.04</f>
        <v>0.41600000000000004</v>
      </c>
      <c r="AL2" s="54">
        <f>1-AK2</f>
        <v>0.58399999999999996</v>
      </c>
      <c r="AM2" s="54">
        <f>$T2*1.06</f>
        <v>0.42400000000000004</v>
      </c>
      <c r="AN2" s="54">
        <f>1-AM2</f>
        <v>0.57599999999999996</v>
      </c>
      <c r="AO2" s="54">
        <f>$T2*1.08</f>
        <v>0.43200000000000005</v>
      </c>
      <c r="AP2" s="54">
        <f>1-AO2</f>
        <v>0.56799999999999995</v>
      </c>
      <c r="AQ2" s="54">
        <f>$T2*1.1</f>
        <v>0.44000000000000006</v>
      </c>
      <c r="AR2" s="54">
        <f>1-AQ2</f>
        <v>0.55999999999999994</v>
      </c>
    </row>
    <row r="3" spans="1:44" ht="13.5" x14ac:dyDescent="0.65">
      <c r="A3" s="31">
        <v>6</v>
      </c>
      <c r="B3" s="33">
        <v>7</v>
      </c>
      <c r="C3" s="36">
        <v>5</v>
      </c>
      <c r="D3" s="36">
        <v>5</v>
      </c>
      <c r="E3" s="31">
        <v>3.5541009969031303</v>
      </c>
      <c r="F3" s="32">
        <f t="shared" si="0"/>
        <v>5.2385252492257832</v>
      </c>
      <c r="G3" s="34">
        <f t="shared" si="1"/>
        <v>5.1985252492257823</v>
      </c>
      <c r="H3" s="34">
        <f t="shared" si="2"/>
        <v>5.2065252492257823</v>
      </c>
      <c r="I3" s="34">
        <f t="shared" si="3"/>
        <v>5.2145252492257832</v>
      </c>
      <c r="J3" s="34">
        <f t="shared" si="4"/>
        <v>5.2225252492257841</v>
      </c>
      <c r="K3" s="34">
        <f t="shared" si="5"/>
        <v>5.2305252492257832</v>
      </c>
      <c r="L3" s="34">
        <f t="shared" si="6"/>
        <v>5.2385252492257841</v>
      </c>
      <c r="M3" s="34">
        <f t="shared" si="7"/>
        <v>5.2465252492257832</v>
      </c>
      <c r="N3" s="34">
        <f t="shared" si="8"/>
        <v>5.2545252492257832</v>
      </c>
      <c r="O3" s="34">
        <f t="shared" si="9"/>
        <v>5.2625252492257832</v>
      </c>
      <c r="P3" s="34">
        <f t="shared" si="10"/>
        <v>5.2705252492257832</v>
      </c>
      <c r="Q3" s="34">
        <f t="shared" si="11"/>
        <v>5.2785252492257833</v>
      </c>
      <c r="R3" s="70" t="s">
        <v>79</v>
      </c>
      <c r="S3" s="47" t="s">
        <v>72</v>
      </c>
      <c r="T3" s="49">
        <v>0.5</v>
      </c>
      <c r="U3" s="49">
        <f>U8/U$2</f>
        <v>0.16666666666666669</v>
      </c>
      <c r="V3" s="50" t="s">
        <v>75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15.5" x14ac:dyDescent="0.65">
      <c r="A4" s="31">
        <v>5</v>
      </c>
      <c r="B4" s="33">
        <v>7</v>
      </c>
      <c r="C4" s="36">
        <v>3</v>
      </c>
      <c r="D4" s="36">
        <v>5</v>
      </c>
      <c r="E4" s="31">
        <v>3.4015731515469323</v>
      </c>
      <c r="F4" s="32">
        <f t="shared" si="0"/>
        <v>4.7003932878867332</v>
      </c>
      <c r="G4" s="34">
        <f t="shared" si="1"/>
        <v>4.7003932878867332</v>
      </c>
      <c r="H4" s="34">
        <f t="shared" si="2"/>
        <v>4.7003932878867332</v>
      </c>
      <c r="I4" s="34">
        <f t="shared" si="3"/>
        <v>4.7003932878867332</v>
      </c>
      <c r="J4" s="34">
        <f t="shared" si="4"/>
        <v>4.7003932878867332</v>
      </c>
      <c r="K4" s="34">
        <f t="shared" si="5"/>
        <v>4.7003932878867332</v>
      </c>
      <c r="L4" s="34">
        <f t="shared" si="6"/>
        <v>4.7003932878867332</v>
      </c>
      <c r="M4" s="34">
        <f t="shared" si="7"/>
        <v>4.7003932878867332</v>
      </c>
      <c r="N4" s="34">
        <f t="shared" si="8"/>
        <v>4.7003932878867332</v>
      </c>
      <c r="O4" s="34">
        <f t="shared" si="9"/>
        <v>4.7003932878867332</v>
      </c>
      <c r="P4" s="34">
        <f t="shared" si="10"/>
        <v>4.7003932878867332</v>
      </c>
      <c r="Q4" s="34">
        <f t="shared" si="11"/>
        <v>4.7003932878867332</v>
      </c>
      <c r="R4" s="70"/>
      <c r="S4" s="47" t="s">
        <v>73</v>
      </c>
      <c r="T4" s="49">
        <v>0.39</v>
      </c>
      <c r="U4" s="49">
        <f t="shared" ref="U4:U6" si="12">U9/U$2</f>
        <v>8.3333333333333343E-2</v>
      </c>
      <c r="V4" s="50" t="s">
        <v>81</v>
      </c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</row>
    <row r="5" spans="1:44" ht="13.5" x14ac:dyDescent="0.65">
      <c r="A5" s="31">
        <v>5</v>
      </c>
      <c r="B5" s="33">
        <v>5</v>
      </c>
      <c r="C5" s="36">
        <v>7</v>
      </c>
      <c r="D5" s="36">
        <v>5</v>
      </c>
      <c r="E5" s="31">
        <v>3.4681211898117019</v>
      </c>
      <c r="F5" s="32">
        <f t="shared" si="0"/>
        <v>4.7170302974529257</v>
      </c>
      <c r="G5" s="34">
        <f t="shared" si="1"/>
        <v>4.7170302974529248</v>
      </c>
      <c r="H5" s="34">
        <f t="shared" si="2"/>
        <v>4.7170302974529248</v>
      </c>
      <c r="I5" s="34">
        <f t="shared" si="3"/>
        <v>4.7170302974529257</v>
      </c>
      <c r="J5" s="34">
        <f t="shared" si="4"/>
        <v>4.7170302974529257</v>
      </c>
      <c r="K5" s="34">
        <f t="shared" si="5"/>
        <v>4.7170302974529257</v>
      </c>
      <c r="L5" s="34">
        <f t="shared" si="6"/>
        <v>4.7170302974529257</v>
      </c>
      <c r="M5" s="34">
        <f t="shared" si="7"/>
        <v>4.7170302974529257</v>
      </c>
      <c r="N5" s="34">
        <f t="shared" si="8"/>
        <v>4.7170302974529257</v>
      </c>
      <c r="O5" s="34">
        <f t="shared" si="9"/>
        <v>4.7170302974529257</v>
      </c>
      <c r="P5" s="34">
        <f t="shared" si="10"/>
        <v>4.7170302974529257</v>
      </c>
      <c r="Q5" s="34">
        <f t="shared" si="11"/>
        <v>4.7170302974529257</v>
      </c>
      <c r="R5" s="70"/>
      <c r="S5" s="47" t="s">
        <v>74</v>
      </c>
      <c r="T5" s="49">
        <v>0.11</v>
      </c>
      <c r="U5" s="49">
        <f t="shared" si="12"/>
        <v>0.33333333333333337</v>
      </c>
      <c r="V5" s="50" t="s">
        <v>76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13.5" x14ac:dyDescent="0.65">
      <c r="A6" s="31">
        <v>5</v>
      </c>
      <c r="B6" s="33">
        <v>5</v>
      </c>
      <c r="C6" s="36">
        <v>5</v>
      </c>
      <c r="D6" s="36">
        <v>5</v>
      </c>
      <c r="E6" s="31">
        <v>3.3716366700776499</v>
      </c>
      <c r="F6" s="32">
        <f t="shared" si="0"/>
        <v>4.5929091675194123</v>
      </c>
      <c r="G6" s="34">
        <f t="shared" si="1"/>
        <v>4.5929091675194123</v>
      </c>
      <c r="H6" s="34">
        <f t="shared" si="2"/>
        <v>4.5929091675194123</v>
      </c>
      <c r="I6" s="34">
        <f t="shared" si="3"/>
        <v>4.5929091675194131</v>
      </c>
      <c r="J6" s="34">
        <f t="shared" si="4"/>
        <v>4.5929091675194131</v>
      </c>
      <c r="K6" s="34">
        <f t="shared" si="5"/>
        <v>4.5929091675194131</v>
      </c>
      <c r="L6" s="34">
        <f t="shared" si="6"/>
        <v>4.5929091675194131</v>
      </c>
      <c r="M6" s="34">
        <f t="shared" si="7"/>
        <v>4.5929091675194131</v>
      </c>
      <c r="N6" s="34">
        <f t="shared" si="8"/>
        <v>4.5929091675194131</v>
      </c>
      <c r="O6" s="34">
        <f t="shared" si="9"/>
        <v>4.5929091675194131</v>
      </c>
      <c r="P6" s="34">
        <f t="shared" si="10"/>
        <v>4.5929091675194131</v>
      </c>
      <c r="Q6" s="34">
        <f t="shared" si="11"/>
        <v>4.5929091675194131</v>
      </c>
      <c r="R6" s="70"/>
      <c r="S6" s="47"/>
      <c r="T6" s="49"/>
      <c r="U6" s="49">
        <f t="shared" si="12"/>
        <v>0.41666666666666669</v>
      </c>
      <c r="V6" s="50" t="s">
        <v>77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</row>
    <row r="7" spans="1:44" ht="13.5" x14ac:dyDescent="0.65">
      <c r="A7" s="31">
        <v>5</v>
      </c>
      <c r="B7" s="33">
        <v>5</v>
      </c>
      <c r="C7" s="36">
        <v>4</v>
      </c>
      <c r="D7" s="36">
        <v>5</v>
      </c>
      <c r="E7" s="31">
        <v>3.3664164184585252</v>
      </c>
      <c r="F7" s="32">
        <f t="shared" si="0"/>
        <v>4.5416041046146312</v>
      </c>
      <c r="G7" s="34">
        <f t="shared" si="1"/>
        <v>4.5416041046146312</v>
      </c>
      <c r="H7" s="34">
        <f t="shared" si="2"/>
        <v>4.5416041046146312</v>
      </c>
      <c r="I7" s="34">
        <f t="shared" si="3"/>
        <v>4.541604104614632</v>
      </c>
      <c r="J7" s="34">
        <f t="shared" si="4"/>
        <v>4.541604104614632</v>
      </c>
      <c r="K7" s="34">
        <f t="shared" si="5"/>
        <v>4.541604104614632</v>
      </c>
      <c r="L7" s="34">
        <f t="shared" si="6"/>
        <v>4.541604104614632</v>
      </c>
      <c r="M7" s="34">
        <f t="shared" si="7"/>
        <v>4.541604104614632</v>
      </c>
      <c r="N7" s="34">
        <f t="shared" si="8"/>
        <v>4.541604104614632</v>
      </c>
      <c r="O7" s="34">
        <f t="shared" si="9"/>
        <v>4.541604104614632</v>
      </c>
      <c r="P7" s="34">
        <f t="shared" si="10"/>
        <v>4.541604104614632</v>
      </c>
      <c r="Q7" s="34">
        <f t="shared" si="11"/>
        <v>4.541604104614632</v>
      </c>
      <c r="R7" s="70"/>
      <c r="S7" s="51" t="s">
        <v>56</v>
      </c>
      <c r="T7" s="52">
        <f>SUM(T3:T5)</f>
        <v>1</v>
      </c>
      <c r="U7" s="52">
        <f>SUM(U3:U6)</f>
        <v>1</v>
      </c>
      <c r="V7" s="50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</row>
    <row r="8" spans="1:44" ht="13.5" x14ac:dyDescent="0.65">
      <c r="A8" s="31">
        <v>6</v>
      </c>
      <c r="B8" s="33">
        <v>7</v>
      </c>
      <c r="C8" s="36">
        <v>6</v>
      </c>
      <c r="D8" s="36">
        <v>5</v>
      </c>
      <c r="E8" s="31">
        <v>3.7435403713345239</v>
      </c>
      <c r="F8" s="32">
        <f t="shared" si="0"/>
        <v>5.3358850928336317</v>
      </c>
      <c r="G8" s="34">
        <f t="shared" si="1"/>
        <v>5.2958850928336307</v>
      </c>
      <c r="H8" s="34">
        <f t="shared" si="2"/>
        <v>5.3038850928336307</v>
      </c>
      <c r="I8" s="34">
        <f t="shared" si="3"/>
        <v>5.3118850928336325</v>
      </c>
      <c r="J8" s="34">
        <f t="shared" si="4"/>
        <v>5.3198850928336316</v>
      </c>
      <c r="K8" s="34">
        <f t="shared" si="5"/>
        <v>5.3278850928336325</v>
      </c>
      <c r="L8" s="34">
        <f t="shared" si="6"/>
        <v>5.3358850928336317</v>
      </c>
      <c r="M8" s="34">
        <f t="shared" si="7"/>
        <v>5.3438850928336317</v>
      </c>
      <c r="N8" s="34">
        <f t="shared" si="8"/>
        <v>5.3518850928336317</v>
      </c>
      <c r="O8" s="34">
        <f t="shared" si="9"/>
        <v>5.3598850928336317</v>
      </c>
      <c r="P8" s="34">
        <f t="shared" si="10"/>
        <v>5.3678850928336317</v>
      </c>
      <c r="Q8" s="34">
        <f t="shared" si="11"/>
        <v>5.3758850928336317</v>
      </c>
      <c r="R8" s="70" t="s">
        <v>80</v>
      </c>
      <c r="S8" s="47" t="s">
        <v>72</v>
      </c>
      <c r="T8" s="49">
        <f>T3*T$2</f>
        <v>0.2</v>
      </c>
      <c r="U8" s="53">
        <v>0.1</v>
      </c>
      <c r="V8" s="50" t="s">
        <v>75</v>
      </c>
      <c r="W8" s="54"/>
      <c r="X8" s="54">
        <f>$U8</f>
        <v>0.1</v>
      </c>
      <c r="Y8" s="54"/>
      <c r="Z8" s="54">
        <f t="shared" ref="Z8:AR9" si="13">$U8</f>
        <v>0.1</v>
      </c>
      <c r="AA8" s="54"/>
      <c r="AB8" s="54">
        <f t="shared" si="13"/>
        <v>0.1</v>
      </c>
      <c r="AC8" s="54"/>
      <c r="AD8" s="54">
        <f t="shared" si="13"/>
        <v>0.1</v>
      </c>
      <c r="AE8" s="54"/>
      <c r="AF8" s="54">
        <f t="shared" si="13"/>
        <v>0.1</v>
      </c>
      <c r="AG8" s="54"/>
      <c r="AH8" s="54">
        <f t="shared" si="13"/>
        <v>0.1</v>
      </c>
      <c r="AI8" s="54"/>
      <c r="AJ8" s="54">
        <f t="shared" si="13"/>
        <v>0.1</v>
      </c>
      <c r="AK8" s="54"/>
      <c r="AL8" s="54">
        <f t="shared" si="13"/>
        <v>0.1</v>
      </c>
      <c r="AM8" s="54"/>
      <c r="AN8" s="54">
        <f t="shared" si="13"/>
        <v>0.1</v>
      </c>
      <c r="AO8" s="54"/>
      <c r="AP8" s="54">
        <f t="shared" si="13"/>
        <v>0.1</v>
      </c>
      <c r="AQ8" s="54"/>
      <c r="AR8" s="54">
        <f t="shared" si="13"/>
        <v>0.1</v>
      </c>
    </row>
    <row r="9" spans="1:44" ht="15.5" x14ac:dyDescent="0.65">
      <c r="A9" s="31">
        <v>5</v>
      </c>
      <c r="B9" s="33">
        <v>5</v>
      </c>
      <c r="C9" s="36">
        <v>7</v>
      </c>
      <c r="D9" s="36">
        <v>5</v>
      </c>
      <c r="E9" s="31">
        <v>3.4597587072018889</v>
      </c>
      <c r="F9" s="32">
        <f t="shared" si="0"/>
        <v>4.7149396768004728</v>
      </c>
      <c r="G9" s="34">
        <f t="shared" si="1"/>
        <v>4.7149396768004719</v>
      </c>
      <c r="H9" s="34">
        <f t="shared" si="2"/>
        <v>4.7149396768004719</v>
      </c>
      <c r="I9" s="34">
        <f t="shared" si="3"/>
        <v>4.7149396768004728</v>
      </c>
      <c r="J9" s="34">
        <f t="shared" si="4"/>
        <v>4.7149396768004728</v>
      </c>
      <c r="K9" s="34">
        <f t="shared" si="5"/>
        <v>4.7149396768004728</v>
      </c>
      <c r="L9" s="34">
        <f t="shared" si="6"/>
        <v>4.7149396768004728</v>
      </c>
      <c r="M9" s="34">
        <f t="shared" si="7"/>
        <v>4.7149396768004728</v>
      </c>
      <c r="N9" s="34">
        <f t="shared" si="8"/>
        <v>4.7149396768004728</v>
      </c>
      <c r="O9" s="34">
        <f t="shared" si="9"/>
        <v>4.7149396768004728</v>
      </c>
      <c r="P9" s="34">
        <f t="shared" si="10"/>
        <v>4.7149396768004728</v>
      </c>
      <c r="Q9" s="34">
        <f t="shared" si="11"/>
        <v>4.7149396768004728</v>
      </c>
      <c r="R9" s="70"/>
      <c r="S9" s="47" t="s">
        <v>73</v>
      </c>
      <c r="T9" s="49">
        <f t="shared" ref="T9:T10" si="14">T4*T$2</f>
        <v>0.15600000000000003</v>
      </c>
      <c r="U9" s="53">
        <v>0.05</v>
      </c>
      <c r="V9" s="50" t="s">
        <v>81</v>
      </c>
      <c r="W9" s="54"/>
      <c r="X9" s="54">
        <f>$U9</f>
        <v>0.05</v>
      </c>
      <c r="Y9" s="54"/>
      <c r="Z9" s="54">
        <f t="shared" si="13"/>
        <v>0.05</v>
      </c>
      <c r="AA9" s="54"/>
      <c r="AB9" s="54">
        <f t="shared" si="13"/>
        <v>0.05</v>
      </c>
      <c r="AC9" s="54"/>
      <c r="AD9" s="54">
        <f t="shared" si="13"/>
        <v>0.05</v>
      </c>
      <c r="AE9" s="54"/>
      <c r="AF9" s="54">
        <f t="shared" si="13"/>
        <v>0.05</v>
      </c>
      <c r="AG9" s="54"/>
      <c r="AH9" s="54">
        <f t="shared" si="13"/>
        <v>0.05</v>
      </c>
      <c r="AI9" s="54"/>
      <c r="AJ9" s="54">
        <f t="shared" si="13"/>
        <v>0.05</v>
      </c>
      <c r="AK9" s="54"/>
      <c r="AL9" s="54">
        <f t="shared" si="13"/>
        <v>0.05</v>
      </c>
      <c r="AM9" s="54"/>
      <c r="AN9" s="54">
        <f t="shared" si="13"/>
        <v>0.05</v>
      </c>
      <c r="AO9" s="54"/>
      <c r="AP9" s="54">
        <f t="shared" si="13"/>
        <v>0.05</v>
      </c>
      <c r="AQ9" s="54"/>
      <c r="AR9" s="54">
        <f t="shared" si="13"/>
        <v>0.05</v>
      </c>
    </row>
    <row r="10" spans="1:44" ht="13.5" x14ac:dyDescent="0.65">
      <c r="A10" s="31">
        <v>5</v>
      </c>
      <c r="B10" s="33">
        <v>5</v>
      </c>
      <c r="C10" s="36">
        <v>5</v>
      </c>
      <c r="D10" s="36">
        <v>5</v>
      </c>
      <c r="E10" s="31">
        <v>3.3991347126757616</v>
      </c>
      <c r="F10" s="32">
        <f t="shared" si="0"/>
        <v>4.5997836781689401</v>
      </c>
      <c r="G10" s="34">
        <f t="shared" si="1"/>
        <v>4.5997836781689401</v>
      </c>
      <c r="H10" s="34">
        <f t="shared" si="2"/>
        <v>4.5997836781689401</v>
      </c>
      <c r="I10" s="34">
        <f t="shared" si="3"/>
        <v>4.599783678168941</v>
      </c>
      <c r="J10" s="34">
        <f t="shared" si="4"/>
        <v>4.599783678168941</v>
      </c>
      <c r="K10" s="34">
        <f t="shared" si="5"/>
        <v>4.599783678168941</v>
      </c>
      <c r="L10" s="34">
        <f t="shared" si="6"/>
        <v>4.599783678168941</v>
      </c>
      <c r="M10" s="34">
        <f t="shared" si="7"/>
        <v>4.599783678168941</v>
      </c>
      <c r="N10" s="34">
        <f t="shared" si="8"/>
        <v>4.599783678168941</v>
      </c>
      <c r="O10" s="34">
        <f t="shared" si="9"/>
        <v>4.599783678168941</v>
      </c>
      <c r="P10" s="34">
        <f t="shared" si="10"/>
        <v>4.599783678168941</v>
      </c>
      <c r="Q10" s="34">
        <f t="shared" si="11"/>
        <v>4.599783678168941</v>
      </c>
      <c r="R10" s="70"/>
      <c r="S10" s="47" t="s">
        <v>74</v>
      </c>
      <c r="T10" s="49">
        <f t="shared" si="14"/>
        <v>4.4000000000000004E-2</v>
      </c>
      <c r="U10" s="53">
        <v>0.2</v>
      </c>
      <c r="V10" s="50" t="s">
        <v>76</v>
      </c>
      <c r="W10" s="54"/>
      <c r="X10" s="54">
        <f>$U10+X2-$U2</f>
        <v>0.23999999999999988</v>
      </c>
      <c r="Y10" s="54"/>
      <c r="Z10" s="54">
        <f t="shared" ref="Z10:AR10" si="15">$U10+Z2-$U2</f>
        <v>0.23199999999999987</v>
      </c>
      <c r="AA10" s="54"/>
      <c r="AB10" s="54">
        <f t="shared" si="15"/>
        <v>0.22400000000000009</v>
      </c>
      <c r="AC10" s="54"/>
      <c r="AD10" s="54">
        <f t="shared" si="15"/>
        <v>0.21600000000000008</v>
      </c>
      <c r="AE10" s="54"/>
      <c r="AF10" s="54">
        <f t="shared" si="15"/>
        <v>0.20800000000000007</v>
      </c>
      <c r="AG10" s="54"/>
      <c r="AH10" s="54">
        <f t="shared" si="15"/>
        <v>0.20000000000000007</v>
      </c>
      <c r="AI10" s="54"/>
      <c r="AJ10" s="54">
        <f t="shared" si="15"/>
        <v>0.19200000000000006</v>
      </c>
      <c r="AK10" s="54"/>
      <c r="AL10" s="54">
        <f t="shared" si="15"/>
        <v>0.18400000000000005</v>
      </c>
      <c r="AM10" s="54"/>
      <c r="AN10" s="54">
        <f t="shared" si="15"/>
        <v>0.17600000000000005</v>
      </c>
      <c r="AO10" s="54"/>
      <c r="AP10" s="54">
        <f t="shared" si="15"/>
        <v>0.16800000000000004</v>
      </c>
      <c r="AQ10" s="54"/>
      <c r="AR10" s="54">
        <f t="shared" si="15"/>
        <v>0.16000000000000003</v>
      </c>
    </row>
    <row r="11" spans="1:44" ht="13.5" x14ac:dyDescent="0.65">
      <c r="A11" s="31">
        <v>5</v>
      </c>
      <c r="B11" s="33">
        <v>5</v>
      </c>
      <c r="C11" s="36">
        <v>3</v>
      </c>
      <c r="D11" s="36">
        <v>5</v>
      </c>
      <c r="E11" s="31">
        <v>3.6517652073023465</v>
      </c>
      <c r="F11" s="32">
        <f t="shared" si="0"/>
        <v>4.5629413018255862</v>
      </c>
      <c r="G11" s="34">
        <f t="shared" si="1"/>
        <v>4.5629413018255862</v>
      </c>
      <c r="H11" s="34">
        <f t="shared" si="2"/>
        <v>4.5629413018255862</v>
      </c>
      <c r="I11" s="34">
        <f t="shared" si="3"/>
        <v>4.5629413018255871</v>
      </c>
      <c r="J11" s="34">
        <f t="shared" si="4"/>
        <v>4.5629413018255871</v>
      </c>
      <c r="K11" s="34">
        <f t="shared" si="5"/>
        <v>4.5629413018255871</v>
      </c>
      <c r="L11" s="34">
        <f t="shared" si="6"/>
        <v>4.5629413018255871</v>
      </c>
      <c r="M11" s="34">
        <f t="shared" si="7"/>
        <v>4.5629413018255871</v>
      </c>
      <c r="N11" s="34">
        <f t="shared" si="8"/>
        <v>4.5629413018255871</v>
      </c>
      <c r="O11" s="34">
        <f t="shared" si="9"/>
        <v>4.5629413018255871</v>
      </c>
      <c r="P11" s="34">
        <f t="shared" si="10"/>
        <v>4.5629413018255871</v>
      </c>
      <c r="Q11" s="34">
        <f t="shared" si="11"/>
        <v>4.5629413018255871</v>
      </c>
      <c r="R11" s="70"/>
      <c r="S11" s="47"/>
      <c r="T11" s="49"/>
      <c r="U11" s="53">
        <v>0.25</v>
      </c>
      <c r="V11" s="50" t="s">
        <v>77</v>
      </c>
      <c r="W11" s="54"/>
      <c r="X11" s="54">
        <f>$U11</f>
        <v>0.25</v>
      </c>
      <c r="Y11" s="54"/>
      <c r="Z11" s="54">
        <f>$U11</f>
        <v>0.25</v>
      </c>
      <c r="AA11" s="54"/>
      <c r="AB11" s="54">
        <f>$U11</f>
        <v>0.25</v>
      </c>
      <c r="AC11" s="54"/>
      <c r="AD11" s="54">
        <f>$U11</f>
        <v>0.25</v>
      </c>
      <c r="AE11" s="54"/>
      <c r="AF11" s="54">
        <f>$U11</f>
        <v>0.25</v>
      </c>
      <c r="AG11" s="54"/>
      <c r="AH11" s="54">
        <f>$U11</f>
        <v>0.25</v>
      </c>
      <c r="AI11" s="54"/>
      <c r="AJ11" s="54">
        <f>$U11</f>
        <v>0.25</v>
      </c>
      <c r="AK11" s="54"/>
      <c r="AL11" s="54">
        <f>$U11</f>
        <v>0.25</v>
      </c>
      <c r="AM11" s="54"/>
      <c r="AN11" s="54">
        <f>$U11</f>
        <v>0.25</v>
      </c>
      <c r="AO11" s="54"/>
      <c r="AP11" s="54">
        <f>$U11</f>
        <v>0.25</v>
      </c>
      <c r="AQ11" s="54"/>
      <c r="AR11" s="54">
        <f>$U11</f>
        <v>0.25</v>
      </c>
    </row>
    <row r="12" spans="1:44" ht="13.5" x14ac:dyDescent="0.65">
      <c r="A12" s="31">
        <v>5</v>
      </c>
      <c r="B12" s="33">
        <v>5</v>
      </c>
      <c r="C12" s="36">
        <v>3</v>
      </c>
      <c r="D12" s="36">
        <v>5</v>
      </c>
      <c r="E12" s="31">
        <v>3.9006711409395973</v>
      </c>
      <c r="F12" s="32">
        <f t="shared" si="0"/>
        <v>4.6251677852348996</v>
      </c>
      <c r="G12" s="34">
        <f t="shared" si="1"/>
        <v>4.6251677852348987</v>
      </c>
      <c r="H12" s="34">
        <f t="shared" si="2"/>
        <v>4.6251677852348987</v>
      </c>
      <c r="I12" s="34">
        <f t="shared" si="3"/>
        <v>4.6251677852348996</v>
      </c>
      <c r="J12" s="34">
        <f t="shared" si="4"/>
        <v>4.6251677852348996</v>
      </c>
      <c r="K12" s="34">
        <f t="shared" si="5"/>
        <v>4.6251677852348996</v>
      </c>
      <c r="L12" s="34">
        <f t="shared" si="6"/>
        <v>4.6251677852348996</v>
      </c>
      <c r="M12" s="34">
        <f t="shared" si="7"/>
        <v>4.6251677852348996</v>
      </c>
      <c r="N12" s="34">
        <f t="shared" si="8"/>
        <v>4.6251677852348996</v>
      </c>
      <c r="O12" s="34">
        <f t="shared" si="9"/>
        <v>4.6251677852348996</v>
      </c>
      <c r="P12" s="34">
        <f t="shared" si="10"/>
        <v>4.6251677852348996</v>
      </c>
      <c r="Q12" s="34">
        <f t="shared" si="11"/>
        <v>4.6251677852348996</v>
      </c>
      <c r="R12" s="70"/>
      <c r="S12" s="51" t="s">
        <v>56</v>
      </c>
      <c r="T12" s="52">
        <f>SUM(T8:T11)</f>
        <v>0.4</v>
      </c>
      <c r="U12" s="52">
        <f>SUM(U8:U11)</f>
        <v>0.60000000000000009</v>
      </c>
      <c r="V12" s="47"/>
      <c r="W12" s="54">
        <f>W2</f>
        <v>0.36000000000000004</v>
      </c>
      <c r="X12" s="54">
        <f>SUM(X8:X11)</f>
        <v>0.6399999999999999</v>
      </c>
      <c r="Y12" s="54">
        <f>Y2</f>
        <v>0.36800000000000005</v>
      </c>
      <c r="Z12" s="54">
        <f>SUM(Z8:Z11)</f>
        <v>0.6319999999999999</v>
      </c>
      <c r="AA12" s="54">
        <f>AA2</f>
        <v>0.376</v>
      </c>
      <c r="AB12" s="54">
        <f>SUM(AB8:AB11)</f>
        <v>0.62400000000000011</v>
      </c>
      <c r="AC12" s="54">
        <f>AC2</f>
        <v>0.38400000000000001</v>
      </c>
      <c r="AD12" s="54">
        <f>SUM(AD8:AD11)</f>
        <v>0.6160000000000001</v>
      </c>
      <c r="AE12" s="54">
        <f>AE2</f>
        <v>0.39200000000000002</v>
      </c>
      <c r="AF12" s="54">
        <f>SUM(AF8:AF11)</f>
        <v>0.6080000000000001</v>
      </c>
      <c r="AG12" s="54">
        <f>AG2</f>
        <v>0.4</v>
      </c>
      <c r="AH12" s="54">
        <f>SUM(AH8:AH11)</f>
        <v>0.60000000000000009</v>
      </c>
      <c r="AI12" s="54">
        <f>AI2</f>
        <v>0.40800000000000003</v>
      </c>
      <c r="AJ12" s="54">
        <f>SUM(AJ8:AJ11)</f>
        <v>0.59200000000000008</v>
      </c>
      <c r="AK12" s="54">
        <f>AK2</f>
        <v>0.41600000000000004</v>
      </c>
      <c r="AL12" s="54">
        <f>SUM(AL8:AL11)</f>
        <v>0.58400000000000007</v>
      </c>
      <c r="AM12" s="54">
        <f>AM2</f>
        <v>0.42400000000000004</v>
      </c>
      <c r="AN12" s="54">
        <f>SUM(AN8:AN11)</f>
        <v>0.57600000000000007</v>
      </c>
      <c r="AO12" s="54">
        <f>AO2</f>
        <v>0.43200000000000005</v>
      </c>
      <c r="AP12" s="54">
        <f>SUM(AP8:AP11)</f>
        <v>0.56800000000000006</v>
      </c>
      <c r="AQ12" s="54">
        <f>AQ2</f>
        <v>0.44000000000000006</v>
      </c>
      <c r="AR12" s="54">
        <f>SUM(AR8:AR11)</f>
        <v>0.56000000000000005</v>
      </c>
    </row>
    <row r="13" spans="1:44" ht="13.25" x14ac:dyDescent="0.65">
      <c r="A13" s="31">
        <v>5</v>
      </c>
      <c r="B13" s="33">
        <v>5</v>
      </c>
      <c r="C13" s="36">
        <v>3</v>
      </c>
      <c r="D13" s="36">
        <v>5</v>
      </c>
      <c r="E13" s="31">
        <v>3.640671273445212</v>
      </c>
      <c r="F13" s="32">
        <f t="shared" si="0"/>
        <v>4.560167818361303</v>
      </c>
      <c r="G13" s="34">
        <f t="shared" si="1"/>
        <v>4.5601678183613021</v>
      </c>
      <c r="H13" s="34">
        <f t="shared" si="2"/>
        <v>4.5601678183613021</v>
      </c>
      <c r="I13" s="34">
        <f t="shared" si="3"/>
        <v>4.560167818361303</v>
      </c>
      <c r="J13" s="34">
        <f t="shared" si="4"/>
        <v>4.560167818361303</v>
      </c>
      <c r="K13" s="34">
        <f t="shared" si="5"/>
        <v>4.560167818361303</v>
      </c>
      <c r="L13" s="34">
        <f t="shared" si="6"/>
        <v>4.560167818361303</v>
      </c>
      <c r="M13" s="34">
        <f t="shared" si="7"/>
        <v>4.560167818361303</v>
      </c>
      <c r="N13" s="34">
        <f t="shared" si="8"/>
        <v>4.560167818361303</v>
      </c>
      <c r="O13" s="34">
        <f t="shared" si="9"/>
        <v>4.560167818361303</v>
      </c>
      <c r="P13" s="34">
        <f t="shared" si="10"/>
        <v>4.560167818361303</v>
      </c>
      <c r="Q13" s="34">
        <f t="shared" si="11"/>
        <v>4.560167818361303</v>
      </c>
    </row>
    <row r="14" spans="1:44" ht="13.25" x14ac:dyDescent="0.65">
      <c r="A14" s="31">
        <v>5</v>
      </c>
      <c r="B14" s="33">
        <v>5</v>
      </c>
      <c r="C14" s="36">
        <v>4</v>
      </c>
      <c r="D14" s="36">
        <v>5</v>
      </c>
      <c r="E14" s="31">
        <v>3.6233525682125811</v>
      </c>
      <c r="F14" s="32">
        <f t="shared" si="0"/>
        <v>4.6058381420531456</v>
      </c>
      <c r="G14" s="34">
        <f t="shared" si="1"/>
        <v>4.6058381420531447</v>
      </c>
      <c r="H14" s="34">
        <f t="shared" si="2"/>
        <v>4.6058381420531447</v>
      </c>
      <c r="I14" s="34">
        <f t="shared" si="3"/>
        <v>4.6058381420531456</v>
      </c>
      <c r="J14" s="34">
        <f t="shared" si="4"/>
        <v>4.6058381420531456</v>
      </c>
      <c r="K14" s="34">
        <f t="shared" si="5"/>
        <v>4.6058381420531456</v>
      </c>
      <c r="L14" s="34">
        <f t="shared" si="6"/>
        <v>4.6058381420531456</v>
      </c>
      <c r="M14" s="34">
        <f t="shared" si="7"/>
        <v>4.6058381420531456</v>
      </c>
      <c r="N14" s="34">
        <f t="shared" si="8"/>
        <v>4.6058381420531456</v>
      </c>
      <c r="O14" s="34">
        <f t="shared" si="9"/>
        <v>4.6058381420531456</v>
      </c>
      <c r="P14" s="34">
        <f t="shared" si="10"/>
        <v>4.6058381420531456</v>
      </c>
      <c r="Q14" s="34">
        <f t="shared" si="11"/>
        <v>4.6058381420531456</v>
      </c>
    </row>
    <row r="15" spans="1:44" ht="13.25" x14ac:dyDescent="0.65">
      <c r="A15" s="31">
        <v>5</v>
      </c>
      <c r="B15" s="33">
        <v>5</v>
      </c>
      <c r="C15" s="36">
        <v>3</v>
      </c>
      <c r="D15" s="36">
        <v>5</v>
      </c>
      <c r="E15" s="31">
        <v>3.4049306562634039</v>
      </c>
      <c r="F15" s="32">
        <f t="shared" si="0"/>
        <v>4.5012326640658511</v>
      </c>
      <c r="G15" s="34">
        <f t="shared" si="1"/>
        <v>4.5012326640658502</v>
      </c>
      <c r="H15" s="34">
        <f t="shared" si="2"/>
        <v>4.5012326640658502</v>
      </c>
      <c r="I15" s="34">
        <f t="shared" si="3"/>
        <v>4.5012326640658511</v>
      </c>
      <c r="J15" s="34">
        <f t="shared" si="4"/>
        <v>4.5012326640658511</v>
      </c>
      <c r="K15" s="34">
        <f t="shared" si="5"/>
        <v>4.5012326640658511</v>
      </c>
      <c r="L15" s="34">
        <f t="shared" si="6"/>
        <v>4.5012326640658511</v>
      </c>
      <c r="M15" s="34">
        <f t="shared" si="7"/>
        <v>4.5012326640658511</v>
      </c>
      <c r="N15" s="34">
        <f t="shared" si="8"/>
        <v>4.5012326640658511</v>
      </c>
      <c r="O15" s="34">
        <f t="shared" si="9"/>
        <v>4.5012326640658511</v>
      </c>
      <c r="P15" s="34">
        <f t="shared" si="10"/>
        <v>4.5012326640658511</v>
      </c>
      <c r="Q15" s="34">
        <f t="shared" si="11"/>
        <v>4.5012326640658511</v>
      </c>
    </row>
    <row r="16" spans="1:44" ht="13.25" x14ac:dyDescent="0.65">
      <c r="A16" s="31">
        <v>5</v>
      </c>
      <c r="B16" s="33">
        <v>7</v>
      </c>
      <c r="C16" s="36">
        <v>5</v>
      </c>
      <c r="D16" s="36">
        <v>5</v>
      </c>
      <c r="E16" s="31">
        <v>4.0167686631464994</v>
      </c>
      <c r="F16" s="32">
        <f t="shared" si="0"/>
        <v>4.9541921657866252</v>
      </c>
      <c r="G16" s="34">
        <f t="shared" si="1"/>
        <v>4.9541921657866244</v>
      </c>
      <c r="H16" s="34">
        <f t="shared" si="2"/>
        <v>4.9541921657866244</v>
      </c>
      <c r="I16" s="34">
        <f t="shared" si="3"/>
        <v>4.9541921657866252</v>
      </c>
      <c r="J16" s="34">
        <f t="shared" si="4"/>
        <v>4.9541921657866252</v>
      </c>
      <c r="K16" s="34">
        <f t="shared" si="5"/>
        <v>4.9541921657866252</v>
      </c>
      <c r="L16" s="34">
        <f t="shared" si="6"/>
        <v>4.9541921657866252</v>
      </c>
      <c r="M16" s="34">
        <f t="shared" si="7"/>
        <v>4.9541921657866252</v>
      </c>
      <c r="N16" s="34">
        <f t="shared" si="8"/>
        <v>4.9541921657866252</v>
      </c>
      <c r="O16" s="34">
        <f t="shared" si="9"/>
        <v>4.9541921657866252</v>
      </c>
      <c r="P16" s="34">
        <f t="shared" si="10"/>
        <v>4.9541921657866252</v>
      </c>
      <c r="Q16" s="34">
        <f t="shared" si="11"/>
        <v>4.9541921657866252</v>
      </c>
    </row>
    <row r="17" spans="1:21" ht="13.25" x14ac:dyDescent="0.65">
      <c r="A17" s="31">
        <v>5</v>
      </c>
      <c r="B17" s="33">
        <v>5</v>
      </c>
      <c r="C17" s="36">
        <v>3</v>
      </c>
      <c r="D17" s="36">
        <v>5</v>
      </c>
      <c r="E17" s="31">
        <v>3.3603577611079052</v>
      </c>
      <c r="F17" s="32">
        <f t="shared" si="0"/>
        <v>4.490089440276976</v>
      </c>
      <c r="G17" s="34">
        <f t="shared" si="1"/>
        <v>4.490089440276976</v>
      </c>
      <c r="H17" s="34">
        <f t="shared" si="2"/>
        <v>4.490089440276976</v>
      </c>
      <c r="I17" s="34">
        <f t="shared" si="3"/>
        <v>4.4900894402769769</v>
      </c>
      <c r="J17" s="34">
        <f t="shared" si="4"/>
        <v>4.4900894402769769</v>
      </c>
      <c r="K17" s="34">
        <f t="shared" si="5"/>
        <v>4.4900894402769769</v>
      </c>
      <c r="L17" s="34">
        <f t="shared" si="6"/>
        <v>4.4900894402769769</v>
      </c>
      <c r="M17" s="34">
        <f t="shared" si="7"/>
        <v>4.4900894402769769</v>
      </c>
      <c r="N17" s="34">
        <f t="shared" si="8"/>
        <v>4.4900894402769769</v>
      </c>
      <c r="O17" s="34">
        <f t="shared" si="9"/>
        <v>4.4900894402769769</v>
      </c>
      <c r="P17" s="34">
        <f t="shared" si="10"/>
        <v>4.4900894402769769</v>
      </c>
      <c r="Q17" s="34">
        <f t="shared" si="11"/>
        <v>4.4900894402769769</v>
      </c>
    </row>
    <row r="18" spans="1:21" ht="13.25" x14ac:dyDescent="0.65">
      <c r="A18" s="31">
        <v>5</v>
      </c>
      <c r="B18" s="33">
        <v>5</v>
      </c>
      <c r="C18" s="36">
        <v>4</v>
      </c>
      <c r="D18" s="36">
        <v>5</v>
      </c>
      <c r="E18" s="31">
        <v>3.1850056569869336</v>
      </c>
      <c r="F18" s="32">
        <f t="shared" si="0"/>
        <v>4.4962514142467338</v>
      </c>
      <c r="G18" s="34">
        <f t="shared" si="1"/>
        <v>4.4962514142467329</v>
      </c>
      <c r="H18" s="34">
        <f t="shared" si="2"/>
        <v>4.4962514142467329</v>
      </c>
      <c r="I18" s="34">
        <f t="shared" si="3"/>
        <v>4.4962514142467338</v>
      </c>
      <c r="J18" s="34">
        <f t="shared" si="4"/>
        <v>4.4962514142467338</v>
      </c>
      <c r="K18" s="34">
        <f t="shared" si="5"/>
        <v>4.4962514142467338</v>
      </c>
      <c r="L18" s="34">
        <f t="shared" si="6"/>
        <v>4.4962514142467338</v>
      </c>
      <c r="M18" s="34">
        <f t="shared" si="7"/>
        <v>4.4962514142467338</v>
      </c>
      <c r="N18" s="34">
        <f t="shared" si="8"/>
        <v>4.4962514142467338</v>
      </c>
      <c r="O18" s="34">
        <f t="shared" si="9"/>
        <v>4.4962514142467338</v>
      </c>
      <c r="P18" s="34">
        <f t="shared" si="10"/>
        <v>4.4962514142467338</v>
      </c>
      <c r="Q18" s="34">
        <f t="shared" si="11"/>
        <v>4.4962514142467338</v>
      </c>
    </row>
    <row r="19" spans="1:21" ht="14.5" x14ac:dyDescent="0.7">
      <c r="A19" s="31">
        <v>5</v>
      </c>
      <c r="B19" s="33">
        <v>5</v>
      </c>
      <c r="C19" s="36">
        <v>4</v>
      </c>
      <c r="D19" s="36">
        <v>5</v>
      </c>
      <c r="E19" s="31">
        <v>3.584759390375615</v>
      </c>
      <c r="F19" s="32">
        <f t="shared" si="0"/>
        <v>4.5961898475939043</v>
      </c>
      <c r="G19" s="34">
        <f t="shared" si="1"/>
        <v>4.5961898475939034</v>
      </c>
      <c r="H19" s="34">
        <f t="shared" si="2"/>
        <v>4.5961898475939034</v>
      </c>
      <c r="I19" s="34">
        <f t="shared" si="3"/>
        <v>4.5961898475939043</v>
      </c>
      <c r="J19" s="34">
        <f t="shared" si="4"/>
        <v>4.5961898475939043</v>
      </c>
      <c r="K19" s="34">
        <f t="shared" si="5"/>
        <v>4.5961898475939043</v>
      </c>
      <c r="L19" s="34">
        <f t="shared" si="6"/>
        <v>4.5961898475939043</v>
      </c>
      <c r="M19" s="34">
        <f t="shared" si="7"/>
        <v>4.5961898475939043</v>
      </c>
      <c r="N19" s="34">
        <f t="shared" si="8"/>
        <v>4.5961898475939043</v>
      </c>
      <c r="O19" s="34">
        <f t="shared" si="9"/>
        <v>4.5961898475939043</v>
      </c>
      <c r="P19" s="34">
        <f t="shared" si="10"/>
        <v>4.5961898475939043</v>
      </c>
      <c r="Q19" s="34">
        <f t="shared" si="11"/>
        <v>4.5961898475939043</v>
      </c>
      <c r="U19" s="46"/>
    </row>
    <row r="20" spans="1:21" ht="13.25" x14ac:dyDescent="0.65">
      <c r="A20" s="31">
        <v>5</v>
      </c>
      <c r="B20" s="33">
        <v>5</v>
      </c>
      <c r="C20" s="36">
        <v>4</v>
      </c>
      <c r="D20" s="36">
        <v>5</v>
      </c>
      <c r="E20" s="31">
        <v>3.5488622389067137</v>
      </c>
      <c r="F20" s="32">
        <f t="shared" si="0"/>
        <v>4.5872155597266788</v>
      </c>
      <c r="G20" s="34">
        <f t="shared" si="1"/>
        <v>4.5872155597266779</v>
      </c>
      <c r="H20" s="34">
        <f t="shared" si="2"/>
        <v>4.5872155597266779</v>
      </c>
      <c r="I20" s="34">
        <f t="shared" si="3"/>
        <v>4.5872155597266788</v>
      </c>
      <c r="J20" s="34">
        <f t="shared" si="4"/>
        <v>4.5872155597266788</v>
      </c>
      <c r="K20" s="34">
        <f t="shared" si="5"/>
        <v>4.5872155597266788</v>
      </c>
      <c r="L20" s="34">
        <f t="shared" si="6"/>
        <v>4.5872155597266788</v>
      </c>
      <c r="M20" s="34">
        <f t="shared" si="7"/>
        <v>4.5872155597266788</v>
      </c>
      <c r="N20" s="34">
        <f t="shared" si="8"/>
        <v>4.5872155597266788</v>
      </c>
      <c r="O20" s="34">
        <f t="shared" si="9"/>
        <v>4.5872155597266788</v>
      </c>
      <c r="P20" s="34">
        <f t="shared" si="10"/>
        <v>4.5872155597266788</v>
      </c>
      <c r="Q20" s="34">
        <f t="shared" si="11"/>
        <v>4.5872155597266788</v>
      </c>
    </row>
    <row r="21" spans="1:21" ht="13.25" x14ac:dyDescent="0.65">
      <c r="A21" s="31">
        <v>5</v>
      </c>
      <c r="B21" s="33">
        <v>5</v>
      </c>
      <c r="C21" s="36">
        <v>3</v>
      </c>
      <c r="D21" s="36">
        <v>5</v>
      </c>
      <c r="E21" s="31">
        <v>3.6608328643781656</v>
      </c>
      <c r="F21" s="32">
        <f t="shared" si="0"/>
        <v>4.5652082160945415</v>
      </c>
      <c r="G21" s="34">
        <f t="shared" si="1"/>
        <v>4.5652082160945406</v>
      </c>
      <c r="H21" s="34">
        <f t="shared" si="2"/>
        <v>4.5652082160945406</v>
      </c>
      <c r="I21" s="34">
        <f t="shared" si="3"/>
        <v>4.5652082160945415</v>
      </c>
      <c r="J21" s="34">
        <f t="shared" si="4"/>
        <v>4.5652082160945415</v>
      </c>
      <c r="K21" s="34">
        <f t="shared" si="5"/>
        <v>4.5652082160945415</v>
      </c>
      <c r="L21" s="34">
        <f t="shared" si="6"/>
        <v>4.5652082160945415</v>
      </c>
      <c r="M21" s="34">
        <f t="shared" si="7"/>
        <v>4.5652082160945415</v>
      </c>
      <c r="N21" s="34">
        <f t="shared" si="8"/>
        <v>4.5652082160945415</v>
      </c>
      <c r="O21" s="34">
        <f t="shared" si="9"/>
        <v>4.5652082160945415</v>
      </c>
      <c r="P21" s="34">
        <f t="shared" si="10"/>
        <v>4.5652082160945415</v>
      </c>
      <c r="Q21" s="34">
        <f t="shared" si="11"/>
        <v>4.5652082160945415</v>
      </c>
    </row>
    <row r="22" spans="1:21" ht="13.25" x14ac:dyDescent="0.65">
      <c r="A22" s="31">
        <v>5</v>
      </c>
      <c r="B22" s="33">
        <v>5</v>
      </c>
      <c r="C22" s="36">
        <v>5</v>
      </c>
      <c r="D22" s="36">
        <v>5</v>
      </c>
      <c r="E22" s="31">
        <v>3.3127630303810678</v>
      </c>
      <c r="F22" s="32">
        <f t="shared" si="0"/>
        <v>4.5781907575952667</v>
      </c>
      <c r="G22" s="34">
        <f t="shared" si="1"/>
        <v>4.5781907575952667</v>
      </c>
      <c r="H22" s="34">
        <f t="shared" si="2"/>
        <v>4.5781907575952667</v>
      </c>
      <c r="I22" s="34">
        <f t="shared" si="3"/>
        <v>4.5781907575952676</v>
      </c>
      <c r="J22" s="34">
        <f t="shared" si="4"/>
        <v>4.5781907575952676</v>
      </c>
      <c r="K22" s="34">
        <f t="shared" si="5"/>
        <v>4.5781907575952676</v>
      </c>
      <c r="L22" s="34">
        <f t="shared" si="6"/>
        <v>4.5781907575952676</v>
      </c>
      <c r="M22" s="34">
        <f t="shared" si="7"/>
        <v>4.5781907575952676</v>
      </c>
      <c r="N22" s="34">
        <f t="shared" si="8"/>
        <v>4.5781907575952676</v>
      </c>
      <c r="O22" s="34">
        <f t="shared" si="9"/>
        <v>4.5781907575952676</v>
      </c>
      <c r="P22" s="34">
        <f t="shared" si="10"/>
        <v>4.5781907575952676</v>
      </c>
      <c r="Q22" s="34">
        <f t="shared" si="11"/>
        <v>4.5781907575952676</v>
      </c>
    </row>
    <row r="23" spans="1:21" ht="13.25" x14ac:dyDescent="0.65">
      <c r="A23" s="31">
        <v>5</v>
      </c>
      <c r="B23" s="33">
        <v>7</v>
      </c>
      <c r="C23" s="36">
        <v>5</v>
      </c>
      <c r="D23" s="36">
        <v>5</v>
      </c>
      <c r="E23" s="31">
        <v>3.752719481375673</v>
      </c>
      <c r="F23" s="32">
        <f t="shared" si="0"/>
        <v>4.8881798703439188</v>
      </c>
      <c r="G23" s="34">
        <f t="shared" si="1"/>
        <v>4.8881798703439179</v>
      </c>
      <c r="H23" s="34">
        <f t="shared" si="2"/>
        <v>4.8881798703439179</v>
      </c>
      <c r="I23" s="34">
        <f t="shared" si="3"/>
        <v>4.8881798703439188</v>
      </c>
      <c r="J23" s="34">
        <f t="shared" si="4"/>
        <v>4.8881798703439188</v>
      </c>
      <c r="K23" s="34">
        <f t="shared" si="5"/>
        <v>4.8881798703439188</v>
      </c>
      <c r="L23" s="34">
        <f t="shared" si="6"/>
        <v>4.8881798703439188</v>
      </c>
      <c r="M23" s="34">
        <f t="shared" si="7"/>
        <v>4.8881798703439188</v>
      </c>
      <c r="N23" s="34">
        <f t="shared" si="8"/>
        <v>4.8881798703439188</v>
      </c>
      <c r="O23" s="34">
        <f t="shared" si="9"/>
        <v>4.8881798703439188</v>
      </c>
      <c r="P23" s="34">
        <f t="shared" si="10"/>
        <v>4.8881798703439188</v>
      </c>
      <c r="Q23" s="34">
        <f t="shared" si="11"/>
        <v>4.8881798703439188</v>
      </c>
    </row>
    <row r="24" spans="1:21" ht="13.25" x14ac:dyDescent="0.65">
      <c r="A24" s="31">
        <v>5</v>
      </c>
      <c r="B24" s="33">
        <v>5</v>
      </c>
      <c r="C24" s="36">
        <v>6</v>
      </c>
      <c r="D24" s="36">
        <v>7</v>
      </c>
      <c r="E24" s="31">
        <v>3.2580852947037209</v>
      </c>
      <c r="F24" s="32">
        <f t="shared" si="0"/>
        <v>5.0145213236759307</v>
      </c>
      <c r="G24" s="34">
        <f t="shared" si="1"/>
        <v>5.0945213236759299</v>
      </c>
      <c r="H24" s="34">
        <f t="shared" si="2"/>
        <v>5.0785213236759299</v>
      </c>
      <c r="I24" s="34">
        <f t="shared" si="3"/>
        <v>5.0625213236759308</v>
      </c>
      <c r="J24" s="34">
        <f t="shared" si="4"/>
        <v>5.0465213236759308</v>
      </c>
      <c r="K24" s="34">
        <f t="shared" si="5"/>
        <v>5.0305213236759307</v>
      </c>
      <c r="L24" s="34">
        <f t="shared" si="6"/>
        <v>5.0145213236759307</v>
      </c>
      <c r="M24" s="34">
        <f t="shared" si="7"/>
        <v>4.9985213236759307</v>
      </c>
      <c r="N24" s="34">
        <f t="shared" si="8"/>
        <v>4.9825213236759307</v>
      </c>
      <c r="O24" s="34">
        <f t="shared" si="9"/>
        <v>4.9665213236759307</v>
      </c>
      <c r="P24" s="34">
        <f t="shared" si="10"/>
        <v>4.9505213236759307</v>
      </c>
      <c r="Q24" s="34">
        <f t="shared" si="11"/>
        <v>4.9345213236759307</v>
      </c>
    </row>
    <row r="25" spans="1:21" ht="13.25" x14ac:dyDescent="0.65">
      <c r="A25" s="31">
        <v>5</v>
      </c>
      <c r="B25" s="33">
        <v>7</v>
      </c>
      <c r="C25" s="36">
        <v>6</v>
      </c>
      <c r="D25" s="36">
        <v>5</v>
      </c>
      <c r="E25" s="31">
        <v>3.3312819154530193</v>
      </c>
      <c r="F25" s="32">
        <f t="shared" si="0"/>
        <v>4.8328204788632547</v>
      </c>
      <c r="G25" s="34">
        <f t="shared" si="1"/>
        <v>4.8328204788632547</v>
      </c>
      <c r="H25" s="34">
        <f t="shared" si="2"/>
        <v>4.8328204788632547</v>
      </c>
      <c r="I25" s="34">
        <f t="shared" si="3"/>
        <v>4.8328204788632547</v>
      </c>
      <c r="J25" s="34">
        <f t="shared" si="4"/>
        <v>4.8328204788632547</v>
      </c>
      <c r="K25" s="34">
        <f t="shared" si="5"/>
        <v>4.8328204788632547</v>
      </c>
      <c r="L25" s="34">
        <f t="shared" si="6"/>
        <v>4.8328204788632547</v>
      </c>
      <c r="M25" s="34">
        <f t="shared" si="7"/>
        <v>4.8328204788632547</v>
      </c>
      <c r="N25" s="34">
        <f t="shared" si="8"/>
        <v>4.8328204788632547</v>
      </c>
      <c r="O25" s="34">
        <f t="shared" si="9"/>
        <v>4.8328204788632547</v>
      </c>
      <c r="P25" s="34">
        <f t="shared" si="10"/>
        <v>4.8328204788632547</v>
      </c>
      <c r="Q25" s="34">
        <f t="shared" si="11"/>
        <v>4.8328204788632547</v>
      </c>
    </row>
    <row r="26" spans="1:21" ht="13.25" x14ac:dyDescent="0.65">
      <c r="A26" s="31">
        <v>5</v>
      </c>
      <c r="B26" s="33">
        <v>5</v>
      </c>
      <c r="C26" s="36">
        <v>7</v>
      </c>
      <c r="D26" s="36">
        <v>5</v>
      </c>
      <c r="E26" s="31">
        <v>3.2922785447626968</v>
      </c>
      <c r="F26" s="32">
        <f t="shared" si="0"/>
        <v>4.6730696361906743</v>
      </c>
      <c r="G26" s="34">
        <f t="shared" si="1"/>
        <v>4.6730696361906734</v>
      </c>
      <c r="H26" s="34">
        <f t="shared" si="2"/>
        <v>4.6730696361906734</v>
      </c>
      <c r="I26" s="34">
        <f t="shared" si="3"/>
        <v>4.6730696361906752</v>
      </c>
      <c r="J26" s="34">
        <f t="shared" si="4"/>
        <v>4.6730696361906752</v>
      </c>
      <c r="K26" s="34">
        <f t="shared" si="5"/>
        <v>4.6730696361906752</v>
      </c>
      <c r="L26" s="34">
        <f t="shared" si="6"/>
        <v>4.6730696361906752</v>
      </c>
      <c r="M26" s="34">
        <f t="shared" si="7"/>
        <v>4.6730696361906752</v>
      </c>
      <c r="N26" s="34">
        <f t="shared" si="8"/>
        <v>4.6730696361906752</v>
      </c>
      <c r="O26" s="34">
        <f t="shared" si="9"/>
        <v>4.6730696361906752</v>
      </c>
      <c r="P26" s="34">
        <f t="shared" si="10"/>
        <v>4.6730696361906752</v>
      </c>
      <c r="Q26" s="34">
        <f t="shared" si="11"/>
        <v>4.6730696361906752</v>
      </c>
    </row>
    <row r="28" spans="1:21" x14ac:dyDescent="0.6">
      <c r="G28" s="13">
        <f>AVERAGE(G2:G27)</f>
        <v>4.7012595374205013</v>
      </c>
      <c r="H28" s="13">
        <f t="shared" ref="H28:Q28" si="16">AVERAGE(H2:H27)</f>
        <v>4.7012595374205013</v>
      </c>
      <c r="I28" s="13">
        <f t="shared" si="16"/>
        <v>4.7012595374205013</v>
      </c>
      <c r="J28" s="13">
        <f t="shared" si="16"/>
        <v>4.7012595374205013</v>
      </c>
      <c r="K28" s="13">
        <f t="shared" si="16"/>
        <v>4.7012595374205013</v>
      </c>
      <c r="L28" s="13">
        <f t="shared" si="16"/>
        <v>4.7012595374205013</v>
      </c>
      <c r="M28" s="13">
        <f t="shared" si="16"/>
        <v>4.7012595374205013</v>
      </c>
      <c r="N28" s="13">
        <f t="shared" si="16"/>
        <v>4.7012595374205013</v>
      </c>
      <c r="O28" s="13">
        <f t="shared" si="16"/>
        <v>4.7012595374205013</v>
      </c>
      <c r="P28" s="13">
        <f t="shared" si="16"/>
        <v>4.7012595374205013</v>
      </c>
      <c r="Q28" s="13">
        <f t="shared" si="16"/>
        <v>4.7012595374205013</v>
      </c>
    </row>
  </sheetData>
  <mergeCells count="14">
    <mergeCell ref="R3:R7"/>
    <mergeCell ref="R8:R12"/>
    <mergeCell ref="AG1:AH1"/>
    <mergeCell ref="AI1:AJ1"/>
    <mergeCell ref="AK1:AL1"/>
    <mergeCell ref="AM1:AN1"/>
    <mergeCell ref="AO1:AP1"/>
    <mergeCell ref="AQ1:AR1"/>
    <mergeCell ref="R1:S2"/>
    <mergeCell ref="W1:X1"/>
    <mergeCell ref="Y1:Z1"/>
    <mergeCell ref="AA1:AB1"/>
    <mergeCell ref="AC1:AD1"/>
    <mergeCell ref="AE1:AF1"/>
  </mergeCells>
  <conditionalFormatting sqref="G2:Q2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0150-ABA6-4B2F-9F1F-56E262FDB913}">
  <dimension ref="A1:AR28"/>
  <sheetViews>
    <sheetView topLeftCell="J1" zoomScale="70" zoomScaleNormal="70" workbookViewId="0">
      <selection activeCell="AR11" sqref="AR11"/>
    </sheetView>
  </sheetViews>
  <sheetFormatPr defaultRowHeight="13" x14ac:dyDescent="0.6"/>
  <cols>
    <col min="1" max="1" width="8.2265625" style="45" customWidth="1"/>
    <col min="2" max="2" width="15.54296875" style="45" customWidth="1"/>
    <col min="3" max="3" width="8.04296875" style="45" customWidth="1"/>
    <col min="4" max="4" width="8.7265625" style="45"/>
    <col min="5" max="6" width="11" style="14" customWidth="1"/>
    <col min="7" max="7" width="7.26953125" style="14" bestFit="1" customWidth="1"/>
    <col min="8" max="16" width="8.1796875" style="14" bestFit="1" customWidth="1"/>
    <col min="17" max="17" width="7.26953125" style="14" bestFit="1" customWidth="1"/>
    <col min="18" max="18" width="20.40625" style="14" customWidth="1"/>
    <col min="19" max="21" width="8.7265625" style="14"/>
    <col min="22" max="22" width="28.36328125" style="14" customWidth="1"/>
    <col min="23" max="34" width="4.31640625" style="45" bestFit="1" customWidth="1"/>
    <col min="35" max="44" width="4.31640625" style="14" bestFit="1" customWidth="1"/>
    <col min="45" max="16384" width="8.7265625" style="14"/>
  </cols>
  <sheetData>
    <row r="1" spans="1:44" ht="28.5" x14ac:dyDescent="0.6">
      <c r="A1" s="43" t="s">
        <v>59</v>
      </c>
      <c r="B1" s="43" t="s">
        <v>60</v>
      </c>
      <c r="C1" s="43" t="s">
        <v>70</v>
      </c>
      <c r="D1" s="44" t="s">
        <v>62</v>
      </c>
      <c r="E1" s="43" t="s">
        <v>63</v>
      </c>
      <c r="F1" s="43" t="s">
        <v>65</v>
      </c>
      <c r="G1" s="43" t="s">
        <v>82</v>
      </c>
      <c r="H1" s="43" t="s">
        <v>83</v>
      </c>
      <c r="I1" s="43" t="s">
        <v>84</v>
      </c>
      <c r="J1" s="43" t="s">
        <v>85</v>
      </c>
      <c r="K1" s="43" t="s">
        <v>86</v>
      </c>
      <c r="L1" s="43" t="s">
        <v>87</v>
      </c>
      <c r="M1" s="43" t="s">
        <v>88</v>
      </c>
      <c r="N1" s="43" t="s">
        <v>89</v>
      </c>
      <c r="O1" s="43" t="s">
        <v>90</v>
      </c>
      <c r="P1" s="43" t="s">
        <v>91</v>
      </c>
      <c r="Q1" s="43" t="s">
        <v>92</v>
      </c>
      <c r="R1" s="70" t="s">
        <v>78</v>
      </c>
      <c r="S1" s="70"/>
      <c r="T1" s="48" t="s">
        <v>71</v>
      </c>
      <c r="U1" s="48" t="s">
        <v>64</v>
      </c>
      <c r="V1" s="47"/>
      <c r="W1" s="72">
        <v>0.9</v>
      </c>
      <c r="X1" s="71"/>
      <c r="Y1" s="71">
        <v>0.92</v>
      </c>
      <c r="Z1" s="71"/>
      <c r="AA1" s="71">
        <v>0.94</v>
      </c>
      <c r="AB1" s="71"/>
      <c r="AC1" s="71">
        <v>0.96</v>
      </c>
      <c r="AD1" s="71"/>
      <c r="AE1" s="71">
        <v>0.98</v>
      </c>
      <c r="AF1" s="71"/>
      <c r="AG1" s="71">
        <v>1</v>
      </c>
      <c r="AH1" s="71"/>
      <c r="AI1" s="71">
        <v>1</v>
      </c>
      <c r="AJ1" s="71"/>
      <c r="AK1" s="71">
        <v>1</v>
      </c>
      <c r="AL1" s="71"/>
      <c r="AM1" s="71">
        <v>1</v>
      </c>
      <c r="AN1" s="71"/>
      <c r="AO1" s="71">
        <v>1</v>
      </c>
      <c r="AP1" s="71"/>
      <c r="AQ1" s="71">
        <v>1</v>
      </c>
      <c r="AR1" s="71"/>
    </row>
    <row r="2" spans="1:44" ht="13.5" x14ac:dyDescent="0.65">
      <c r="A2" s="31">
        <v>5</v>
      </c>
      <c r="B2" s="33">
        <v>5</v>
      </c>
      <c r="C2" s="36">
        <v>3</v>
      </c>
      <c r="D2" s="36">
        <v>5</v>
      </c>
      <c r="E2" s="31">
        <v>3.6365658362989324</v>
      </c>
      <c r="F2" s="32">
        <f t="shared" ref="F2:F26" si="0">A2*T$12+B2*U$8+C2*U$9+D2*U$10+E2*U$11</f>
        <v>4.5591414590747332</v>
      </c>
      <c r="G2" s="34">
        <f t="shared" ref="G2:G26" si="1">$A2*W$12+$B2*X$8+$C2*X$9+$D2*X$10+$E2*X$11</f>
        <v>4.5046040925266908</v>
      </c>
      <c r="H2" s="34">
        <f t="shared" ref="H2:H26" si="2">$A2*Y$12+$B2*Z$8+$C2*Z$9+$D2*Z$10+$E2*Z$11</f>
        <v>4.5155115658362988</v>
      </c>
      <c r="I2" s="34">
        <f t="shared" ref="I2:I26" si="3">$A2*AA$12+$B2*AB$8+$C2*AB$9+$D2*AB$10+$E2*AB$11</f>
        <v>4.5264190391459076</v>
      </c>
      <c r="J2" s="34">
        <f t="shared" ref="J2:J26" si="4">$A2*AC$12+$B2*AD$8+$C2*AD$9+$D2*AD$10+$E2*AD$11</f>
        <v>4.5373265124555155</v>
      </c>
      <c r="K2" s="34">
        <f t="shared" ref="K2:K26" si="5">$A2*AE$12+$B2*AF$8+$C2*AF$9+$D2*AF$10+$E2*AF$11</f>
        <v>4.5482339857651244</v>
      </c>
      <c r="L2" s="34">
        <f t="shared" ref="L2:L26" si="6">$A2*AG$12+$B2*AH$8+$C2*AH$9+$D2*AH$10+$E2*AH$11</f>
        <v>4.5591414590747332</v>
      </c>
      <c r="M2" s="34">
        <f t="shared" ref="M2:M26" si="7">$A2*AI$12+$B2*AJ$8+$C2*AJ$9+$D2*AJ$10+$E2*AJ$11</f>
        <v>4.5700489323843412</v>
      </c>
      <c r="N2" s="34">
        <f t="shared" ref="N2:N26" si="8">$A2*AK$12+$B2*AL$8+$C2*AL$9+$D2*AL$10+$E2*AL$11</f>
        <v>4.58095640569395</v>
      </c>
      <c r="O2" s="34">
        <f t="shared" ref="O2:O26" si="9">$A2*AM$12+$B2*AN$8+$C2*AN$9+$D2*AN$10+$E2*AN$11</f>
        <v>4.5918638790035589</v>
      </c>
      <c r="P2" s="34">
        <f t="shared" ref="P2:P26" si="10">$A2*AO$12+$B2*AP$8+$C2*AP$9+$D2*AP$10+$E2*AP$11</f>
        <v>4.6027713523131677</v>
      </c>
      <c r="Q2" s="34">
        <f t="shared" ref="Q2:Q26" si="11">$A2*AQ$12+$B2*AR$8+$C2*AR$9+$D2*AR$10+$E2*AR$11</f>
        <v>4.6136788256227756</v>
      </c>
      <c r="R2" s="70"/>
      <c r="S2" s="70"/>
      <c r="T2" s="47">
        <v>0.4</v>
      </c>
      <c r="U2" s="47">
        <v>0.6</v>
      </c>
      <c r="V2" s="47"/>
      <c r="W2" s="54">
        <f>$T2*0.9</f>
        <v>0.36000000000000004</v>
      </c>
      <c r="X2" s="54">
        <f>1-W2</f>
        <v>0.6399999999999999</v>
      </c>
      <c r="Y2" s="54">
        <f>$T2*0.92</f>
        <v>0.36800000000000005</v>
      </c>
      <c r="Z2" s="54">
        <f>1-Y2</f>
        <v>0.6319999999999999</v>
      </c>
      <c r="AA2" s="54">
        <f>$T2*0.94</f>
        <v>0.376</v>
      </c>
      <c r="AB2" s="54">
        <f>1-AA2</f>
        <v>0.624</v>
      </c>
      <c r="AC2" s="54">
        <f>$T2*0.96</f>
        <v>0.38400000000000001</v>
      </c>
      <c r="AD2" s="54">
        <f>1-AC2</f>
        <v>0.61599999999999999</v>
      </c>
      <c r="AE2" s="54">
        <f>$T2*0.98</f>
        <v>0.39200000000000002</v>
      </c>
      <c r="AF2" s="54">
        <f>1-AE2</f>
        <v>0.60799999999999998</v>
      </c>
      <c r="AG2" s="54">
        <f>$T2*1</f>
        <v>0.4</v>
      </c>
      <c r="AH2" s="54">
        <f>1-AG2</f>
        <v>0.6</v>
      </c>
      <c r="AI2" s="54">
        <f>$T2*1.02</f>
        <v>0.40800000000000003</v>
      </c>
      <c r="AJ2" s="54">
        <f>1-AI2</f>
        <v>0.59199999999999997</v>
      </c>
      <c r="AK2" s="54">
        <f>$T2*1.04</f>
        <v>0.41600000000000004</v>
      </c>
      <c r="AL2" s="54">
        <f>1-AK2</f>
        <v>0.58399999999999996</v>
      </c>
      <c r="AM2" s="54">
        <f>$T2*1.06</f>
        <v>0.42400000000000004</v>
      </c>
      <c r="AN2" s="54">
        <f>1-AM2</f>
        <v>0.57599999999999996</v>
      </c>
      <c r="AO2" s="54">
        <f>$T2*1.08</f>
        <v>0.43200000000000005</v>
      </c>
      <c r="AP2" s="54">
        <f>1-AO2</f>
        <v>0.56799999999999995</v>
      </c>
      <c r="AQ2" s="54">
        <f>$T2*1.1</f>
        <v>0.44000000000000006</v>
      </c>
      <c r="AR2" s="54">
        <f>1-AQ2</f>
        <v>0.55999999999999994</v>
      </c>
    </row>
    <row r="3" spans="1:44" ht="13.5" x14ac:dyDescent="0.65">
      <c r="A3" s="31">
        <v>6</v>
      </c>
      <c r="B3" s="33">
        <v>7</v>
      </c>
      <c r="C3" s="36">
        <v>5</v>
      </c>
      <c r="D3" s="36">
        <v>5</v>
      </c>
      <c r="E3" s="31">
        <v>3.5541009969031303</v>
      </c>
      <c r="F3" s="32">
        <f t="shared" si="0"/>
        <v>5.2385252492257832</v>
      </c>
      <c r="G3" s="34">
        <f t="shared" si="1"/>
        <v>5.1406892891019078</v>
      </c>
      <c r="H3" s="34">
        <f t="shared" si="2"/>
        <v>5.1602564811266829</v>
      </c>
      <c r="I3" s="34">
        <f t="shared" si="3"/>
        <v>5.179823673151458</v>
      </c>
      <c r="J3" s="34">
        <f t="shared" si="4"/>
        <v>5.1993908651762331</v>
      </c>
      <c r="K3" s="34">
        <f t="shared" si="5"/>
        <v>5.2189580572010081</v>
      </c>
      <c r="L3" s="34">
        <f t="shared" si="6"/>
        <v>5.2385252492257832</v>
      </c>
      <c r="M3" s="34">
        <f t="shared" si="7"/>
        <v>5.2580924412505583</v>
      </c>
      <c r="N3" s="34">
        <f t="shared" si="8"/>
        <v>5.2776596332753334</v>
      </c>
      <c r="O3" s="34">
        <f t="shared" si="9"/>
        <v>5.2972268253001076</v>
      </c>
      <c r="P3" s="34">
        <f t="shared" si="10"/>
        <v>5.3167940173248827</v>
      </c>
      <c r="Q3" s="34">
        <f t="shared" si="11"/>
        <v>5.3363612093496577</v>
      </c>
      <c r="R3" s="70" t="s">
        <v>79</v>
      </c>
      <c r="S3" s="47" t="s">
        <v>72</v>
      </c>
      <c r="T3" s="49">
        <v>0.5</v>
      </c>
      <c r="U3" s="49">
        <f>U8/U$2</f>
        <v>0.16666666666666669</v>
      </c>
      <c r="V3" s="50" t="s">
        <v>75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15.5" x14ac:dyDescent="0.65">
      <c r="A4" s="31">
        <v>5</v>
      </c>
      <c r="B4" s="33">
        <v>7</v>
      </c>
      <c r="C4" s="36">
        <v>3</v>
      </c>
      <c r="D4" s="36">
        <v>5</v>
      </c>
      <c r="E4" s="31">
        <v>3.4015731515469323</v>
      </c>
      <c r="F4" s="32">
        <f t="shared" si="0"/>
        <v>4.7003932878867332</v>
      </c>
      <c r="G4" s="34">
        <f t="shared" si="1"/>
        <v>4.6364562139486107</v>
      </c>
      <c r="H4" s="34">
        <f t="shared" si="2"/>
        <v>4.6492436287362349</v>
      </c>
      <c r="I4" s="34">
        <f t="shared" si="3"/>
        <v>4.6620310435238599</v>
      </c>
      <c r="J4" s="34">
        <f t="shared" si="4"/>
        <v>4.674818458311484</v>
      </c>
      <c r="K4" s="34">
        <f t="shared" si="5"/>
        <v>4.687605873099109</v>
      </c>
      <c r="L4" s="34">
        <f t="shared" si="6"/>
        <v>4.7003932878867332</v>
      </c>
      <c r="M4" s="34">
        <f t="shared" si="7"/>
        <v>4.7131807026743573</v>
      </c>
      <c r="N4" s="34">
        <f t="shared" si="8"/>
        <v>4.7259681174619823</v>
      </c>
      <c r="O4" s="34">
        <f t="shared" si="9"/>
        <v>4.7387555322496064</v>
      </c>
      <c r="P4" s="34">
        <f t="shared" si="10"/>
        <v>4.7515429470372306</v>
      </c>
      <c r="Q4" s="34">
        <f t="shared" si="11"/>
        <v>4.7643303618248565</v>
      </c>
      <c r="R4" s="70"/>
      <c r="S4" s="47" t="s">
        <v>73</v>
      </c>
      <c r="T4" s="49">
        <v>0.39</v>
      </c>
      <c r="U4" s="49">
        <f t="shared" ref="U4:U6" si="12">U9/U$2</f>
        <v>8.3333333333333343E-2</v>
      </c>
      <c r="V4" s="50" t="s">
        <v>81</v>
      </c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</row>
    <row r="5" spans="1:44" ht="13.5" x14ac:dyDescent="0.65">
      <c r="A5" s="31">
        <v>5</v>
      </c>
      <c r="B5" s="33">
        <v>5</v>
      </c>
      <c r="C5" s="36">
        <v>7</v>
      </c>
      <c r="D5" s="36">
        <v>5</v>
      </c>
      <c r="E5" s="31">
        <v>3.4681211898117019</v>
      </c>
      <c r="F5" s="32">
        <f t="shared" si="0"/>
        <v>4.7170302974529257</v>
      </c>
      <c r="G5" s="34">
        <f t="shared" si="1"/>
        <v>4.6557551450453936</v>
      </c>
      <c r="H5" s="34">
        <f t="shared" si="2"/>
        <v>4.6680101755269003</v>
      </c>
      <c r="I5" s="34">
        <f t="shared" si="3"/>
        <v>4.6802652060084062</v>
      </c>
      <c r="J5" s="34">
        <f t="shared" si="4"/>
        <v>4.692520236489913</v>
      </c>
      <c r="K5" s="34">
        <f t="shared" si="5"/>
        <v>4.7047752669714189</v>
      </c>
      <c r="L5" s="34">
        <f t="shared" si="6"/>
        <v>4.7170302974529257</v>
      </c>
      <c r="M5" s="34">
        <f t="shared" si="7"/>
        <v>4.7292853279344325</v>
      </c>
      <c r="N5" s="34">
        <f t="shared" si="8"/>
        <v>4.7415403584159383</v>
      </c>
      <c r="O5" s="34">
        <f t="shared" si="9"/>
        <v>4.7537953888974451</v>
      </c>
      <c r="P5" s="34">
        <f t="shared" si="10"/>
        <v>4.766050419378951</v>
      </c>
      <c r="Q5" s="34">
        <f t="shared" si="11"/>
        <v>4.7783054498604578</v>
      </c>
      <c r="R5" s="70"/>
      <c r="S5" s="47" t="s">
        <v>74</v>
      </c>
      <c r="T5" s="49">
        <v>0.11</v>
      </c>
      <c r="U5" s="49">
        <f t="shared" si="12"/>
        <v>0.33333333333333337</v>
      </c>
      <c r="V5" s="50" t="s">
        <v>76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13.5" x14ac:dyDescent="0.65">
      <c r="A6" s="31">
        <v>5</v>
      </c>
      <c r="B6" s="33">
        <v>5</v>
      </c>
      <c r="C6" s="36">
        <v>5</v>
      </c>
      <c r="D6" s="36">
        <v>5</v>
      </c>
      <c r="E6" s="31">
        <v>3.3716366700776499</v>
      </c>
      <c r="F6" s="32">
        <f t="shared" si="0"/>
        <v>4.5929091675194123</v>
      </c>
      <c r="G6" s="34">
        <f t="shared" si="1"/>
        <v>4.5277746343225189</v>
      </c>
      <c r="H6" s="34">
        <f t="shared" si="2"/>
        <v>4.5408015409618976</v>
      </c>
      <c r="I6" s="34">
        <f t="shared" si="3"/>
        <v>4.5538284476012763</v>
      </c>
      <c r="J6" s="34">
        <f t="shared" si="4"/>
        <v>4.5668553542406549</v>
      </c>
      <c r="K6" s="34">
        <f t="shared" si="5"/>
        <v>4.5798822608800336</v>
      </c>
      <c r="L6" s="34">
        <f t="shared" si="6"/>
        <v>4.5929091675194123</v>
      </c>
      <c r="M6" s="34">
        <f t="shared" si="7"/>
        <v>4.6059360741587909</v>
      </c>
      <c r="N6" s="34">
        <f t="shared" si="8"/>
        <v>4.6189629807981705</v>
      </c>
      <c r="O6" s="34">
        <f t="shared" si="9"/>
        <v>4.6319898874375491</v>
      </c>
      <c r="P6" s="34">
        <f t="shared" si="10"/>
        <v>4.6450167940769278</v>
      </c>
      <c r="Q6" s="34">
        <f t="shared" si="11"/>
        <v>4.6580437007163065</v>
      </c>
      <c r="R6" s="70"/>
      <c r="S6" s="47"/>
      <c r="T6" s="49"/>
      <c r="U6" s="49">
        <f t="shared" si="12"/>
        <v>0.41666666666666669</v>
      </c>
      <c r="V6" s="50" t="s">
        <v>77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</row>
    <row r="7" spans="1:44" ht="13.5" x14ac:dyDescent="0.65">
      <c r="A7" s="31">
        <v>5</v>
      </c>
      <c r="B7" s="33">
        <v>5</v>
      </c>
      <c r="C7" s="36">
        <v>4</v>
      </c>
      <c r="D7" s="36">
        <v>5</v>
      </c>
      <c r="E7" s="31">
        <v>3.3664164184585252</v>
      </c>
      <c r="F7" s="32">
        <f t="shared" si="0"/>
        <v>4.5416041046146312</v>
      </c>
      <c r="G7" s="34">
        <f t="shared" si="1"/>
        <v>4.4762607613529726</v>
      </c>
      <c r="H7" s="34">
        <f t="shared" si="2"/>
        <v>4.4893294300053039</v>
      </c>
      <c r="I7" s="34">
        <f t="shared" si="3"/>
        <v>4.5023980986576362</v>
      </c>
      <c r="J7" s="34">
        <f t="shared" si="4"/>
        <v>4.5154667673099675</v>
      </c>
      <c r="K7" s="34">
        <f t="shared" si="5"/>
        <v>4.5285354359622998</v>
      </c>
      <c r="L7" s="34">
        <f t="shared" si="6"/>
        <v>4.5416041046146312</v>
      </c>
      <c r="M7" s="34">
        <f t="shared" si="7"/>
        <v>4.5546727732669634</v>
      </c>
      <c r="N7" s="34">
        <f t="shared" si="8"/>
        <v>4.5677414419192948</v>
      </c>
      <c r="O7" s="34">
        <f t="shared" si="9"/>
        <v>4.580810110571627</v>
      </c>
      <c r="P7" s="34">
        <f t="shared" si="10"/>
        <v>4.5938787792239584</v>
      </c>
      <c r="Q7" s="34">
        <f t="shared" si="11"/>
        <v>4.6069474478762906</v>
      </c>
      <c r="R7" s="70"/>
      <c r="S7" s="51" t="s">
        <v>56</v>
      </c>
      <c r="T7" s="52">
        <f>SUM(T3:T5)</f>
        <v>1</v>
      </c>
      <c r="U7" s="52">
        <f>SUM(U3:U6)</f>
        <v>1</v>
      </c>
      <c r="V7" s="50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</row>
    <row r="8" spans="1:44" ht="13.5" x14ac:dyDescent="0.65">
      <c r="A8" s="31">
        <v>6</v>
      </c>
      <c r="B8" s="33">
        <v>7</v>
      </c>
      <c r="C8" s="36">
        <v>6</v>
      </c>
      <c r="D8" s="36">
        <v>5</v>
      </c>
      <c r="E8" s="31">
        <v>3.7435403713345239</v>
      </c>
      <c r="F8" s="32">
        <f t="shared" si="0"/>
        <v>5.3358850928336317</v>
      </c>
      <c r="G8" s="34">
        <f t="shared" si="1"/>
        <v>5.2456267076870118</v>
      </c>
      <c r="H8" s="34">
        <f t="shared" si="2"/>
        <v>5.2636783847163358</v>
      </c>
      <c r="I8" s="34">
        <f t="shared" si="3"/>
        <v>5.2817300617456597</v>
      </c>
      <c r="J8" s="34">
        <f t="shared" si="4"/>
        <v>5.2997817387749837</v>
      </c>
      <c r="K8" s="34">
        <f t="shared" si="5"/>
        <v>5.3178334158043077</v>
      </c>
      <c r="L8" s="34">
        <f t="shared" si="6"/>
        <v>5.3358850928336317</v>
      </c>
      <c r="M8" s="34">
        <f t="shared" si="7"/>
        <v>5.3539367698629547</v>
      </c>
      <c r="N8" s="34">
        <f t="shared" si="8"/>
        <v>5.3719884468922787</v>
      </c>
      <c r="O8" s="34">
        <f t="shared" si="9"/>
        <v>5.3900401239216027</v>
      </c>
      <c r="P8" s="34">
        <f t="shared" si="10"/>
        <v>5.4080918009509267</v>
      </c>
      <c r="Q8" s="34">
        <f t="shared" si="11"/>
        <v>5.4261434779802507</v>
      </c>
      <c r="R8" s="70" t="s">
        <v>80</v>
      </c>
      <c r="S8" s="47" t="s">
        <v>72</v>
      </c>
      <c r="T8" s="49">
        <f>T3*T$2</f>
        <v>0.2</v>
      </c>
      <c r="U8" s="53">
        <v>0.1</v>
      </c>
      <c r="V8" s="50" t="s">
        <v>75</v>
      </c>
      <c r="W8" s="54"/>
      <c r="X8" s="54">
        <f>$U8</f>
        <v>0.1</v>
      </c>
      <c r="Y8" s="54"/>
      <c r="Z8" s="54">
        <f t="shared" ref="Z8:AR10" si="13">$U8</f>
        <v>0.1</v>
      </c>
      <c r="AA8" s="54"/>
      <c r="AB8" s="54">
        <f t="shared" si="13"/>
        <v>0.1</v>
      </c>
      <c r="AC8" s="54"/>
      <c r="AD8" s="54">
        <f t="shared" si="13"/>
        <v>0.1</v>
      </c>
      <c r="AE8" s="54"/>
      <c r="AF8" s="54">
        <f t="shared" si="13"/>
        <v>0.1</v>
      </c>
      <c r="AG8" s="54"/>
      <c r="AH8" s="54">
        <f t="shared" si="13"/>
        <v>0.1</v>
      </c>
      <c r="AI8" s="54"/>
      <c r="AJ8" s="54">
        <f t="shared" si="13"/>
        <v>0.1</v>
      </c>
      <c r="AK8" s="54"/>
      <c r="AL8" s="54">
        <f t="shared" si="13"/>
        <v>0.1</v>
      </c>
      <c r="AM8" s="54"/>
      <c r="AN8" s="54">
        <f t="shared" si="13"/>
        <v>0.1</v>
      </c>
      <c r="AO8" s="54"/>
      <c r="AP8" s="54">
        <f t="shared" si="13"/>
        <v>0.1</v>
      </c>
      <c r="AQ8" s="54"/>
      <c r="AR8" s="54">
        <f t="shared" si="13"/>
        <v>0.1</v>
      </c>
    </row>
    <row r="9" spans="1:44" ht="15.5" x14ac:dyDescent="0.65">
      <c r="A9" s="31">
        <v>5</v>
      </c>
      <c r="B9" s="33">
        <v>5</v>
      </c>
      <c r="C9" s="36">
        <v>7</v>
      </c>
      <c r="D9" s="36">
        <v>5</v>
      </c>
      <c r="E9" s="31">
        <v>3.4597587072018889</v>
      </c>
      <c r="F9" s="32">
        <f t="shared" si="0"/>
        <v>4.7149396768004728</v>
      </c>
      <c r="G9" s="34">
        <f t="shared" si="1"/>
        <v>4.6533300250885477</v>
      </c>
      <c r="H9" s="34">
        <f t="shared" si="2"/>
        <v>4.665651955430933</v>
      </c>
      <c r="I9" s="34">
        <f t="shared" si="3"/>
        <v>4.6779738857733175</v>
      </c>
      <c r="J9" s="34">
        <f t="shared" si="4"/>
        <v>4.6902958161157029</v>
      </c>
      <c r="K9" s="34">
        <f t="shared" si="5"/>
        <v>4.7026177464580874</v>
      </c>
      <c r="L9" s="34">
        <f t="shared" si="6"/>
        <v>4.7149396768004728</v>
      </c>
      <c r="M9" s="34">
        <f t="shared" si="7"/>
        <v>4.7272616071428573</v>
      </c>
      <c r="N9" s="34">
        <f t="shared" si="8"/>
        <v>4.7395835374852417</v>
      </c>
      <c r="O9" s="34">
        <f t="shared" si="9"/>
        <v>4.7519054678276271</v>
      </c>
      <c r="P9" s="34">
        <f t="shared" si="10"/>
        <v>4.7642273981700116</v>
      </c>
      <c r="Q9" s="34">
        <f t="shared" si="11"/>
        <v>4.776549328512397</v>
      </c>
      <c r="R9" s="70"/>
      <c r="S9" s="47" t="s">
        <v>73</v>
      </c>
      <c r="T9" s="49">
        <f t="shared" ref="T9:T10" si="14">T4*T$2</f>
        <v>0.15600000000000003</v>
      </c>
      <c r="U9" s="53">
        <v>0.05</v>
      </c>
      <c r="V9" s="50" t="s">
        <v>81</v>
      </c>
      <c r="W9" s="54"/>
      <c r="X9" s="54">
        <f>$U9</f>
        <v>0.05</v>
      </c>
      <c r="Y9" s="54"/>
      <c r="Z9" s="54">
        <f t="shared" si="13"/>
        <v>0.05</v>
      </c>
      <c r="AA9" s="54"/>
      <c r="AB9" s="54">
        <f t="shared" si="13"/>
        <v>0.05</v>
      </c>
      <c r="AC9" s="54"/>
      <c r="AD9" s="54">
        <f t="shared" si="13"/>
        <v>0.05</v>
      </c>
      <c r="AE9" s="54"/>
      <c r="AF9" s="54">
        <f t="shared" si="13"/>
        <v>0.05</v>
      </c>
      <c r="AG9" s="54"/>
      <c r="AH9" s="54">
        <f t="shared" si="13"/>
        <v>0.05</v>
      </c>
      <c r="AI9" s="54"/>
      <c r="AJ9" s="54">
        <f t="shared" si="13"/>
        <v>0.05</v>
      </c>
      <c r="AK9" s="54"/>
      <c r="AL9" s="54">
        <f t="shared" si="13"/>
        <v>0.05</v>
      </c>
      <c r="AM9" s="54"/>
      <c r="AN9" s="54">
        <f t="shared" si="13"/>
        <v>0.05</v>
      </c>
      <c r="AO9" s="54"/>
      <c r="AP9" s="54">
        <f t="shared" si="13"/>
        <v>0.05</v>
      </c>
      <c r="AQ9" s="54"/>
      <c r="AR9" s="54">
        <f t="shared" si="13"/>
        <v>0.05</v>
      </c>
    </row>
    <row r="10" spans="1:44" ht="13.5" x14ac:dyDescent="0.65">
      <c r="A10" s="31">
        <v>5</v>
      </c>
      <c r="B10" s="33">
        <v>5</v>
      </c>
      <c r="C10" s="36">
        <v>5</v>
      </c>
      <c r="D10" s="36">
        <v>5</v>
      </c>
      <c r="E10" s="31">
        <v>3.3991347126757616</v>
      </c>
      <c r="F10" s="32">
        <f t="shared" si="0"/>
        <v>4.5997836781689401</v>
      </c>
      <c r="G10" s="34">
        <f t="shared" si="1"/>
        <v>4.5357490666759706</v>
      </c>
      <c r="H10" s="34">
        <f t="shared" si="2"/>
        <v>4.5485559889745648</v>
      </c>
      <c r="I10" s="34">
        <f t="shared" si="3"/>
        <v>4.5613629112731591</v>
      </c>
      <c r="J10" s="34">
        <f t="shared" si="4"/>
        <v>4.5741698335717524</v>
      </c>
      <c r="K10" s="34">
        <f t="shared" si="5"/>
        <v>4.5869767558703467</v>
      </c>
      <c r="L10" s="34">
        <f t="shared" si="6"/>
        <v>4.5997836781689401</v>
      </c>
      <c r="M10" s="34">
        <f t="shared" si="7"/>
        <v>4.6125906004675343</v>
      </c>
      <c r="N10" s="34">
        <f t="shared" si="8"/>
        <v>4.6253975227661286</v>
      </c>
      <c r="O10" s="34">
        <f t="shared" si="9"/>
        <v>4.638204445064722</v>
      </c>
      <c r="P10" s="34">
        <f t="shared" si="10"/>
        <v>4.6510113673633162</v>
      </c>
      <c r="Q10" s="34">
        <f t="shared" si="11"/>
        <v>4.6638182896619096</v>
      </c>
      <c r="R10" s="70"/>
      <c r="S10" s="47" t="s">
        <v>74</v>
      </c>
      <c r="T10" s="49">
        <f t="shared" si="14"/>
        <v>4.4000000000000004E-2</v>
      </c>
      <c r="U10" s="53">
        <v>0.2</v>
      </c>
      <c r="V10" s="50" t="s">
        <v>76</v>
      </c>
      <c r="W10" s="54"/>
      <c r="X10" s="54">
        <f>$U10</f>
        <v>0.2</v>
      </c>
      <c r="Y10" s="54"/>
      <c r="Z10" s="54">
        <f t="shared" si="13"/>
        <v>0.2</v>
      </c>
      <c r="AA10" s="54"/>
      <c r="AB10" s="54">
        <f t="shared" si="13"/>
        <v>0.2</v>
      </c>
      <c r="AC10" s="54"/>
      <c r="AD10" s="54">
        <f t="shared" si="13"/>
        <v>0.2</v>
      </c>
      <c r="AE10" s="54"/>
      <c r="AF10" s="54">
        <f t="shared" si="13"/>
        <v>0.2</v>
      </c>
      <c r="AG10" s="54"/>
      <c r="AH10" s="54">
        <f t="shared" si="13"/>
        <v>0.2</v>
      </c>
      <c r="AI10" s="54"/>
      <c r="AJ10" s="54">
        <f t="shared" si="13"/>
        <v>0.2</v>
      </c>
      <c r="AK10" s="54"/>
      <c r="AL10" s="54">
        <f t="shared" si="13"/>
        <v>0.2</v>
      </c>
      <c r="AM10" s="54"/>
      <c r="AN10" s="54">
        <f t="shared" si="13"/>
        <v>0.2</v>
      </c>
      <c r="AO10" s="54"/>
      <c r="AP10" s="54">
        <f t="shared" si="13"/>
        <v>0.2</v>
      </c>
      <c r="AQ10" s="54"/>
      <c r="AR10" s="54">
        <f t="shared" si="13"/>
        <v>0.2</v>
      </c>
    </row>
    <row r="11" spans="1:44" ht="13.5" x14ac:dyDescent="0.65">
      <c r="A11" s="31">
        <v>5</v>
      </c>
      <c r="B11" s="33">
        <v>5</v>
      </c>
      <c r="C11" s="36">
        <v>3</v>
      </c>
      <c r="D11" s="36">
        <v>5</v>
      </c>
      <c r="E11" s="31">
        <v>3.6517652073023465</v>
      </c>
      <c r="F11" s="32">
        <f t="shared" si="0"/>
        <v>4.5629413018255862</v>
      </c>
      <c r="G11" s="34">
        <f t="shared" si="1"/>
        <v>4.50901191011768</v>
      </c>
      <c r="H11" s="34">
        <f t="shared" si="2"/>
        <v>4.5197977884592619</v>
      </c>
      <c r="I11" s="34">
        <f t="shared" si="3"/>
        <v>4.530583666800843</v>
      </c>
      <c r="J11" s="34">
        <f t="shared" si="4"/>
        <v>4.5413695451424241</v>
      </c>
      <c r="K11" s="34">
        <f t="shared" si="5"/>
        <v>4.5521554234840051</v>
      </c>
      <c r="L11" s="34">
        <f t="shared" si="6"/>
        <v>4.5629413018255862</v>
      </c>
      <c r="M11" s="34">
        <f t="shared" si="7"/>
        <v>4.5737271801671682</v>
      </c>
      <c r="N11" s="34">
        <f t="shared" si="8"/>
        <v>4.5845130585087492</v>
      </c>
      <c r="O11" s="34">
        <f t="shared" si="9"/>
        <v>4.5952989368503303</v>
      </c>
      <c r="P11" s="34">
        <f t="shared" si="10"/>
        <v>4.6060848151919114</v>
      </c>
      <c r="Q11" s="34">
        <f t="shared" si="11"/>
        <v>4.6168706935334924</v>
      </c>
      <c r="R11" s="70"/>
      <c r="S11" s="47"/>
      <c r="T11" s="49"/>
      <c r="U11" s="53">
        <v>0.25</v>
      </c>
      <c r="V11" s="50" t="s">
        <v>77</v>
      </c>
      <c r="W11" s="54"/>
      <c r="X11" s="54">
        <f>$U11+X2-$U2</f>
        <v>0.28999999999999992</v>
      </c>
      <c r="Y11" s="54"/>
      <c r="Z11" s="54">
        <f t="shared" ref="Z11:AR11" si="15">$U11+Z2-$U2</f>
        <v>0.28199999999999992</v>
      </c>
      <c r="AA11" s="54"/>
      <c r="AB11" s="54">
        <f t="shared" si="15"/>
        <v>0.27400000000000002</v>
      </c>
      <c r="AC11" s="54"/>
      <c r="AD11" s="54">
        <f t="shared" si="15"/>
        <v>0.26600000000000001</v>
      </c>
      <c r="AE11" s="54"/>
      <c r="AF11" s="54">
        <f t="shared" si="15"/>
        <v>0.25800000000000001</v>
      </c>
      <c r="AG11" s="54"/>
      <c r="AH11" s="54">
        <f t="shared" si="15"/>
        <v>0.25</v>
      </c>
      <c r="AI11" s="54"/>
      <c r="AJ11" s="54">
        <f t="shared" si="15"/>
        <v>0.24199999999999999</v>
      </c>
      <c r="AK11" s="54"/>
      <c r="AL11" s="54">
        <f t="shared" si="15"/>
        <v>0.23399999999999999</v>
      </c>
      <c r="AM11" s="54"/>
      <c r="AN11" s="54">
        <f t="shared" si="15"/>
        <v>0.22599999999999998</v>
      </c>
      <c r="AO11" s="54"/>
      <c r="AP11" s="54">
        <f t="shared" si="15"/>
        <v>0.21799999999999997</v>
      </c>
      <c r="AQ11" s="54"/>
      <c r="AR11" s="54">
        <f t="shared" si="15"/>
        <v>0.20999999999999996</v>
      </c>
    </row>
    <row r="12" spans="1:44" ht="13.5" x14ac:dyDescent="0.65">
      <c r="A12" s="31">
        <v>5</v>
      </c>
      <c r="B12" s="33">
        <v>5</v>
      </c>
      <c r="C12" s="36">
        <v>3</v>
      </c>
      <c r="D12" s="36">
        <v>5</v>
      </c>
      <c r="E12" s="31">
        <v>3.9006711409395973</v>
      </c>
      <c r="F12" s="32">
        <f t="shared" si="0"/>
        <v>4.6251677852348996</v>
      </c>
      <c r="G12" s="34">
        <f t="shared" si="1"/>
        <v>4.5811946308724831</v>
      </c>
      <c r="H12" s="34">
        <f t="shared" si="2"/>
        <v>4.5899892617449662</v>
      </c>
      <c r="I12" s="34">
        <f t="shared" si="3"/>
        <v>4.5987838926174494</v>
      </c>
      <c r="J12" s="34">
        <f t="shared" si="4"/>
        <v>4.6075785234899325</v>
      </c>
      <c r="K12" s="34">
        <f t="shared" si="5"/>
        <v>4.6163731543624156</v>
      </c>
      <c r="L12" s="34">
        <f t="shared" si="6"/>
        <v>4.6251677852348996</v>
      </c>
      <c r="M12" s="34">
        <f t="shared" si="7"/>
        <v>4.6339624161073827</v>
      </c>
      <c r="N12" s="34">
        <f t="shared" si="8"/>
        <v>4.6427570469798658</v>
      </c>
      <c r="O12" s="34">
        <f t="shared" si="9"/>
        <v>4.6515516778523489</v>
      </c>
      <c r="P12" s="34">
        <f t="shared" si="10"/>
        <v>4.660346308724832</v>
      </c>
      <c r="Q12" s="34">
        <f t="shared" si="11"/>
        <v>4.6691409395973151</v>
      </c>
      <c r="R12" s="70"/>
      <c r="S12" s="51" t="s">
        <v>56</v>
      </c>
      <c r="T12" s="52">
        <f>SUM(T8:T11)</f>
        <v>0.4</v>
      </c>
      <c r="U12" s="52">
        <f>SUM(U8:U11)</f>
        <v>0.60000000000000009</v>
      </c>
      <c r="V12" s="47"/>
      <c r="W12" s="54">
        <f>W2</f>
        <v>0.36000000000000004</v>
      </c>
      <c r="X12" s="54">
        <f>SUM(X8:X11)</f>
        <v>0.6399999999999999</v>
      </c>
      <c r="Y12" s="54">
        <f>Y2</f>
        <v>0.36800000000000005</v>
      </c>
      <c r="Z12" s="54">
        <f>SUM(Z8:Z11)</f>
        <v>0.6319999999999999</v>
      </c>
      <c r="AA12" s="54">
        <f>AA2</f>
        <v>0.376</v>
      </c>
      <c r="AB12" s="54">
        <f>SUM(AB8:AB11)</f>
        <v>0.62400000000000011</v>
      </c>
      <c r="AC12" s="54">
        <f>AC2</f>
        <v>0.38400000000000001</v>
      </c>
      <c r="AD12" s="54">
        <f>SUM(AD8:AD11)</f>
        <v>0.6160000000000001</v>
      </c>
      <c r="AE12" s="54">
        <f>AE2</f>
        <v>0.39200000000000002</v>
      </c>
      <c r="AF12" s="54">
        <f>SUM(AF8:AF11)</f>
        <v>0.6080000000000001</v>
      </c>
      <c r="AG12" s="54">
        <f>AG2</f>
        <v>0.4</v>
      </c>
      <c r="AH12" s="54">
        <f>SUM(AH8:AH11)</f>
        <v>0.60000000000000009</v>
      </c>
      <c r="AI12" s="54">
        <f>AI2</f>
        <v>0.40800000000000003</v>
      </c>
      <c r="AJ12" s="54">
        <f>SUM(AJ8:AJ11)</f>
        <v>0.59200000000000008</v>
      </c>
      <c r="AK12" s="54">
        <f>AK2</f>
        <v>0.41600000000000004</v>
      </c>
      <c r="AL12" s="54">
        <f>SUM(AL8:AL11)</f>
        <v>0.58400000000000007</v>
      </c>
      <c r="AM12" s="54">
        <f>AM2</f>
        <v>0.42400000000000004</v>
      </c>
      <c r="AN12" s="54">
        <f>SUM(AN8:AN11)</f>
        <v>0.57600000000000007</v>
      </c>
      <c r="AO12" s="54">
        <f>AO2</f>
        <v>0.43200000000000005</v>
      </c>
      <c r="AP12" s="54">
        <f>SUM(AP8:AP11)</f>
        <v>0.56800000000000006</v>
      </c>
      <c r="AQ12" s="54">
        <f>AQ2</f>
        <v>0.44000000000000006</v>
      </c>
      <c r="AR12" s="54">
        <f>SUM(AR8:AR11)</f>
        <v>0.56000000000000005</v>
      </c>
    </row>
    <row r="13" spans="1:44" ht="13.25" x14ac:dyDescent="0.65">
      <c r="A13" s="31">
        <v>5</v>
      </c>
      <c r="B13" s="33">
        <v>5</v>
      </c>
      <c r="C13" s="36">
        <v>3</v>
      </c>
      <c r="D13" s="36">
        <v>5</v>
      </c>
      <c r="E13" s="31">
        <v>3.640671273445212</v>
      </c>
      <c r="F13" s="32">
        <f t="shared" si="0"/>
        <v>4.560167818361303</v>
      </c>
      <c r="G13" s="34">
        <f t="shared" si="1"/>
        <v>4.5057946692991111</v>
      </c>
      <c r="H13" s="34">
        <f t="shared" si="2"/>
        <v>4.51666929911155</v>
      </c>
      <c r="I13" s="34">
        <f t="shared" si="3"/>
        <v>4.527543928923988</v>
      </c>
      <c r="J13" s="34">
        <f t="shared" si="4"/>
        <v>4.5384185587364261</v>
      </c>
      <c r="K13" s="34">
        <f t="shared" si="5"/>
        <v>4.5492931885488641</v>
      </c>
      <c r="L13" s="34">
        <f t="shared" si="6"/>
        <v>4.560167818361303</v>
      </c>
      <c r="M13" s="34">
        <f t="shared" si="7"/>
        <v>4.5710424481737411</v>
      </c>
      <c r="N13" s="34">
        <f t="shared" si="8"/>
        <v>4.58191707798618</v>
      </c>
      <c r="O13" s="34">
        <f t="shared" si="9"/>
        <v>4.592791707798618</v>
      </c>
      <c r="P13" s="34">
        <f t="shared" si="10"/>
        <v>4.603666337611056</v>
      </c>
      <c r="Q13" s="34">
        <f t="shared" si="11"/>
        <v>4.6145409674234941</v>
      </c>
    </row>
    <row r="14" spans="1:44" ht="13.25" x14ac:dyDescent="0.65">
      <c r="A14" s="31">
        <v>5</v>
      </c>
      <c r="B14" s="33">
        <v>5</v>
      </c>
      <c r="C14" s="36">
        <v>4</v>
      </c>
      <c r="D14" s="36">
        <v>5</v>
      </c>
      <c r="E14" s="31">
        <v>3.6233525682125811</v>
      </c>
      <c r="F14" s="32">
        <f t="shared" si="0"/>
        <v>4.6058381420531456</v>
      </c>
      <c r="G14" s="34">
        <f t="shared" si="1"/>
        <v>4.5507722447816485</v>
      </c>
      <c r="H14" s="34">
        <f t="shared" si="2"/>
        <v>4.5617854242359481</v>
      </c>
      <c r="I14" s="34">
        <f t="shared" si="3"/>
        <v>4.5727986036902477</v>
      </c>
      <c r="J14" s="34">
        <f t="shared" si="4"/>
        <v>4.5838117831445464</v>
      </c>
      <c r="K14" s="34">
        <f t="shared" si="5"/>
        <v>4.594824962598846</v>
      </c>
      <c r="L14" s="34">
        <f t="shared" si="6"/>
        <v>4.6058381420531456</v>
      </c>
      <c r="M14" s="34">
        <f t="shared" si="7"/>
        <v>4.6168513215074451</v>
      </c>
      <c r="N14" s="34">
        <f t="shared" si="8"/>
        <v>4.6278645009617438</v>
      </c>
      <c r="O14" s="34">
        <f t="shared" si="9"/>
        <v>4.6388776804160434</v>
      </c>
      <c r="P14" s="34">
        <f t="shared" si="10"/>
        <v>4.649890859870343</v>
      </c>
      <c r="Q14" s="34">
        <f t="shared" si="11"/>
        <v>4.6609040393246426</v>
      </c>
    </row>
    <row r="15" spans="1:44" ht="13.25" x14ac:dyDescent="0.65">
      <c r="A15" s="31">
        <v>5</v>
      </c>
      <c r="B15" s="33">
        <v>5</v>
      </c>
      <c r="C15" s="36">
        <v>3</v>
      </c>
      <c r="D15" s="36">
        <v>5</v>
      </c>
      <c r="E15" s="31">
        <v>3.4049306562634039</v>
      </c>
      <c r="F15" s="32">
        <f t="shared" si="0"/>
        <v>4.5012326640658511</v>
      </c>
      <c r="G15" s="34">
        <f t="shared" si="1"/>
        <v>4.4374298903163867</v>
      </c>
      <c r="H15" s="34">
        <f t="shared" si="2"/>
        <v>4.4501904450662799</v>
      </c>
      <c r="I15" s="34">
        <f t="shared" si="3"/>
        <v>4.4629509998161723</v>
      </c>
      <c r="J15" s="34">
        <f t="shared" si="4"/>
        <v>4.4757115545660655</v>
      </c>
      <c r="K15" s="34">
        <f t="shared" si="5"/>
        <v>4.4884721093159579</v>
      </c>
      <c r="L15" s="34">
        <f t="shared" si="6"/>
        <v>4.5012326640658511</v>
      </c>
      <c r="M15" s="34">
        <f t="shared" si="7"/>
        <v>4.5139932188157434</v>
      </c>
      <c r="N15" s="34">
        <f t="shared" si="8"/>
        <v>4.5267537735656367</v>
      </c>
      <c r="O15" s="34">
        <f t="shared" si="9"/>
        <v>4.539514328315529</v>
      </c>
      <c r="P15" s="34">
        <f t="shared" si="10"/>
        <v>4.5522748830654223</v>
      </c>
      <c r="Q15" s="34">
        <f t="shared" si="11"/>
        <v>4.5650354378153146</v>
      </c>
    </row>
    <row r="16" spans="1:44" ht="13.25" x14ac:dyDescent="0.65">
      <c r="A16" s="31">
        <v>5</v>
      </c>
      <c r="B16" s="33">
        <v>7</v>
      </c>
      <c r="C16" s="36">
        <v>5</v>
      </c>
      <c r="D16" s="36">
        <v>5</v>
      </c>
      <c r="E16" s="31">
        <v>4.0167686631464994</v>
      </c>
      <c r="F16" s="32">
        <f t="shared" si="0"/>
        <v>4.9541921657866252</v>
      </c>
      <c r="G16" s="34">
        <f t="shared" si="1"/>
        <v>4.9148629123124845</v>
      </c>
      <c r="H16" s="34">
        <f t="shared" si="2"/>
        <v>4.9227287630073127</v>
      </c>
      <c r="I16" s="34">
        <f t="shared" si="3"/>
        <v>4.9305946137021408</v>
      </c>
      <c r="J16" s="34">
        <f t="shared" si="4"/>
        <v>4.938460464396969</v>
      </c>
      <c r="K16" s="34">
        <f t="shared" si="5"/>
        <v>4.9463263150917971</v>
      </c>
      <c r="L16" s="34">
        <f t="shared" si="6"/>
        <v>4.9541921657866252</v>
      </c>
      <c r="M16" s="34">
        <f t="shared" si="7"/>
        <v>4.9620580164814534</v>
      </c>
      <c r="N16" s="34">
        <f t="shared" si="8"/>
        <v>4.9699238671762807</v>
      </c>
      <c r="O16" s="34">
        <f t="shared" si="9"/>
        <v>4.9777897178711088</v>
      </c>
      <c r="P16" s="34">
        <f t="shared" si="10"/>
        <v>4.9856555685659369</v>
      </c>
      <c r="Q16" s="34">
        <f t="shared" si="11"/>
        <v>4.9935214192607651</v>
      </c>
    </row>
    <row r="17" spans="1:21" ht="13.25" x14ac:dyDescent="0.65">
      <c r="A17" s="31">
        <v>5</v>
      </c>
      <c r="B17" s="33">
        <v>5</v>
      </c>
      <c r="C17" s="36">
        <v>3</v>
      </c>
      <c r="D17" s="36">
        <v>5</v>
      </c>
      <c r="E17" s="31">
        <v>3.3603577611079052</v>
      </c>
      <c r="F17" s="32">
        <f t="shared" si="0"/>
        <v>4.490089440276976</v>
      </c>
      <c r="G17" s="34">
        <f t="shared" si="1"/>
        <v>4.4245037507212928</v>
      </c>
      <c r="H17" s="34">
        <f t="shared" si="2"/>
        <v>4.4376208886324289</v>
      </c>
      <c r="I17" s="34">
        <f t="shared" si="3"/>
        <v>4.4507380265435659</v>
      </c>
      <c r="J17" s="34">
        <f t="shared" si="4"/>
        <v>4.4638551644547029</v>
      </c>
      <c r="K17" s="34">
        <f t="shared" si="5"/>
        <v>4.476972302365839</v>
      </c>
      <c r="L17" s="34">
        <f t="shared" si="6"/>
        <v>4.490089440276976</v>
      </c>
      <c r="M17" s="34">
        <f t="shared" si="7"/>
        <v>4.503206578188113</v>
      </c>
      <c r="N17" s="34">
        <f t="shared" si="8"/>
        <v>4.51632371609925</v>
      </c>
      <c r="O17" s="34">
        <f t="shared" si="9"/>
        <v>4.529440854010387</v>
      </c>
      <c r="P17" s="34">
        <f t="shared" si="10"/>
        <v>4.5425579919215231</v>
      </c>
      <c r="Q17" s="34">
        <f t="shared" si="11"/>
        <v>4.5556751298326601</v>
      </c>
    </row>
    <row r="18" spans="1:21" ht="13.25" x14ac:dyDescent="0.65">
      <c r="A18" s="31">
        <v>5</v>
      </c>
      <c r="B18" s="33">
        <v>5</v>
      </c>
      <c r="C18" s="36">
        <v>4</v>
      </c>
      <c r="D18" s="36">
        <v>5</v>
      </c>
      <c r="E18" s="31">
        <v>3.1850056569869336</v>
      </c>
      <c r="F18" s="32">
        <f t="shared" si="0"/>
        <v>4.4962514142467338</v>
      </c>
      <c r="G18" s="34">
        <f t="shared" si="1"/>
        <v>4.4236516405262112</v>
      </c>
      <c r="H18" s="34">
        <f t="shared" si="2"/>
        <v>4.4381715952703154</v>
      </c>
      <c r="I18" s="34">
        <f t="shared" si="3"/>
        <v>4.4526915500144195</v>
      </c>
      <c r="J18" s="34">
        <f t="shared" si="4"/>
        <v>4.4672115047585246</v>
      </c>
      <c r="K18" s="34">
        <f t="shared" si="5"/>
        <v>4.4817314595026287</v>
      </c>
      <c r="L18" s="34">
        <f t="shared" si="6"/>
        <v>4.4962514142467338</v>
      </c>
      <c r="M18" s="34">
        <f t="shared" si="7"/>
        <v>4.510771368990838</v>
      </c>
      <c r="N18" s="34">
        <f t="shared" si="8"/>
        <v>4.525291323734943</v>
      </c>
      <c r="O18" s="34">
        <f t="shared" si="9"/>
        <v>4.5398112784790472</v>
      </c>
      <c r="P18" s="34">
        <f t="shared" si="10"/>
        <v>4.5543312332231523</v>
      </c>
      <c r="Q18" s="34">
        <f t="shared" si="11"/>
        <v>4.5688511879672564</v>
      </c>
    </row>
    <row r="19" spans="1:21" ht="14.5" x14ac:dyDescent="0.7">
      <c r="A19" s="31">
        <v>5</v>
      </c>
      <c r="B19" s="33">
        <v>5</v>
      </c>
      <c r="C19" s="36">
        <v>4</v>
      </c>
      <c r="D19" s="36">
        <v>5</v>
      </c>
      <c r="E19" s="31">
        <v>3.584759390375615</v>
      </c>
      <c r="F19" s="32">
        <f t="shared" si="0"/>
        <v>4.5961898475939043</v>
      </c>
      <c r="G19" s="34">
        <f t="shared" si="1"/>
        <v>4.5395802232089286</v>
      </c>
      <c r="H19" s="34">
        <f t="shared" si="2"/>
        <v>4.5509021480859237</v>
      </c>
      <c r="I19" s="34">
        <f t="shared" si="3"/>
        <v>4.5622240729629189</v>
      </c>
      <c r="J19" s="34">
        <f t="shared" si="4"/>
        <v>4.573545997839914</v>
      </c>
      <c r="K19" s="34">
        <f t="shared" si="5"/>
        <v>4.5848679227169091</v>
      </c>
      <c r="L19" s="34">
        <f t="shared" si="6"/>
        <v>4.5961898475939043</v>
      </c>
      <c r="M19" s="34">
        <f t="shared" si="7"/>
        <v>4.6075117724708994</v>
      </c>
      <c r="N19" s="34">
        <f t="shared" si="8"/>
        <v>4.6188336973478936</v>
      </c>
      <c r="O19" s="34">
        <f t="shared" si="9"/>
        <v>4.6301556222248887</v>
      </c>
      <c r="P19" s="34">
        <f t="shared" si="10"/>
        <v>4.6414775471018839</v>
      </c>
      <c r="Q19" s="34">
        <f t="shared" si="11"/>
        <v>4.652799471978879</v>
      </c>
      <c r="U19" s="46"/>
    </row>
    <row r="20" spans="1:21" ht="13.25" x14ac:dyDescent="0.65">
      <c r="A20" s="31">
        <v>5</v>
      </c>
      <c r="B20" s="33">
        <v>5</v>
      </c>
      <c r="C20" s="36">
        <v>4</v>
      </c>
      <c r="D20" s="36">
        <v>5</v>
      </c>
      <c r="E20" s="31">
        <v>3.5488622389067137</v>
      </c>
      <c r="F20" s="32">
        <f t="shared" si="0"/>
        <v>4.5872155597266788</v>
      </c>
      <c r="G20" s="34">
        <f t="shared" si="1"/>
        <v>4.5291700492829472</v>
      </c>
      <c r="H20" s="34">
        <f t="shared" si="2"/>
        <v>4.5407791513716935</v>
      </c>
      <c r="I20" s="34">
        <f t="shared" si="3"/>
        <v>4.5523882534604398</v>
      </c>
      <c r="J20" s="34">
        <f t="shared" si="4"/>
        <v>4.5639973555491862</v>
      </c>
      <c r="K20" s="34">
        <f t="shared" si="5"/>
        <v>4.5756064576379325</v>
      </c>
      <c r="L20" s="34">
        <f t="shared" si="6"/>
        <v>4.5872155597266788</v>
      </c>
      <c r="M20" s="34">
        <f t="shared" si="7"/>
        <v>4.5988246618154252</v>
      </c>
      <c r="N20" s="34">
        <f t="shared" si="8"/>
        <v>4.6104337639041715</v>
      </c>
      <c r="O20" s="34">
        <f t="shared" si="9"/>
        <v>4.6220428659929178</v>
      </c>
      <c r="P20" s="34">
        <f t="shared" si="10"/>
        <v>4.6336519680816641</v>
      </c>
      <c r="Q20" s="34">
        <f t="shared" si="11"/>
        <v>4.6452610701704105</v>
      </c>
    </row>
    <row r="21" spans="1:21" ht="13.25" x14ac:dyDescent="0.65">
      <c r="A21" s="31">
        <v>5</v>
      </c>
      <c r="B21" s="33">
        <v>5</v>
      </c>
      <c r="C21" s="36">
        <v>3</v>
      </c>
      <c r="D21" s="36">
        <v>5</v>
      </c>
      <c r="E21" s="31">
        <v>3.6608328643781656</v>
      </c>
      <c r="F21" s="32">
        <f t="shared" si="0"/>
        <v>4.5652082160945415</v>
      </c>
      <c r="G21" s="34">
        <f t="shared" si="1"/>
        <v>4.5116415306696682</v>
      </c>
      <c r="H21" s="34">
        <f t="shared" si="2"/>
        <v>4.5223548677546423</v>
      </c>
      <c r="I21" s="34">
        <f t="shared" si="3"/>
        <v>4.5330682048396174</v>
      </c>
      <c r="J21" s="34">
        <f t="shared" si="4"/>
        <v>4.5437815419245915</v>
      </c>
      <c r="K21" s="34">
        <f t="shared" si="5"/>
        <v>4.5544948790095665</v>
      </c>
      <c r="L21" s="34">
        <f t="shared" si="6"/>
        <v>4.5652082160945415</v>
      </c>
      <c r="M21" s="34">
        <f t="shared" si="7"/>
        <v>4.5759215531795157</v>
      </c>
      <c r="N21" s="34">
        <f t="shared" si="8"/>
        <v>4.5866348902644907</v>
      </c>
      <c r="O21" s="34">
        <f t="shared" si="9"/>
        <v>4.5973482273494657</v>
      </c>
      <c r="P21" s="34">
        <f t="shared" si="10"/>
        <v>4.6080615644344398</v>
      </c>
      <c r="Q21" s="34">
        <f t="shared" si="11"/>
        <v>4.6187749015194148</v>
      </c>
    </row>
    <row r="22" spans="1:21" ht="13.25" x14ac:dyDescent="0.65">
      <c r="A22" s="31">
        <v>5</v>
      </c>
      <c r="B22" s="33">
        <v>5</v>
      </c>
      <c r="C22" s="36">
        <v>5</v>
      </c>
      <c r="D22" s="36">
        <v>5</v>
      </c>
      <c r="E22" s="31">
        <v>3.3127630303810678</v>
      </c>
      <c r="F22" s="32">
        <f t="shared" si="0"/>
        <v>4.5781907575952667</v>
      </c>
      <c r="G22" s="34">
        <f t="shared" si="1"/>
        <v>4.5107012788105099</v>
      </c>
      <c r="H22" s="34">
        <f t="shared" si="2"/>
        <v>4.5241991745674612</v>
      </c>
      <c r="I22" s="34">
        <f t="shared" si="3"/>
        <v>4.5376970703244126</v>
      </c>
      <c r="J22" s="34">
        <f t="shared" si="4"/>
        <v>4.551194966081364</v>
      </c>
      <c r="K22" s="34">
        <f t="shared" si="5"/>
        <v>4.5646928618383154</v>
      </c>
      <c r="L22" s="34">
        <f t="shared" si="6"/>
        <v>4.5781907575952667</v>
      </c>
      <c r="M22" s="34">
        <f t="shared" si="7"/>
        <v>4.5916886533522181</v>
      </c>
      <c r="N22" s="34">
        <f t="shared" si="8"/>
        <v>4.6051865491091704</v>
      </c>
      <c r="O22" s="34">
        <f t="shared" si="9"/>
        <v>4.6186844448661217</v>
      </c>
      <c r="P22" s="34">
        <f t="shared" si="10"/>
        <v>4.6321823406230731</v>
      </c>
      <c r="Q22" s="34">
        <f t="shared" si="11"/>
        <v>4.6456802363800245</v>
      </c>
    </row>
    <row r="23" spans="1:21" ht="13.25" x14ac:dyDescent="0.65">
      <c r="A23" s="31">
        <v>5</v>
      </c>
      <c r="B23" s="33">
        <v>7</v>
      </c>
      <c r="C23" s="36">
        <v>5</v>
      </c>
      <c r="D23" s="36">
        <v>5</v>
      </c>
      <c r="E23" s="31">
        <v>3.752719481375673</v>
      </c>
      <c r="F23" s="32">
        <f t="shared" si="0"/>
        <v>4.8881798703439188</v>
      </c>
      <c r="G23" s="34">
        <f t="shared" si="1"/>
        <v>4.8382886495989457</v>
      </c>
      <c r="H23" s="34">
        <f t="shared" si="2"/>
        <v>4.8482668937479403</v>
      </c>
      <c r="I23" s="34">
        <f t="shared" si="3"/>
        <v>4.8582451378969349</v>
      </c>
      <c r="J23" s="34">
        <f t="shared" si="4"/>
        <v>4.8682233820459295</v>
      </c>
      <c r="K23" s="34">
        <f t="shared" si="5"/>
        <v>4.8782016261949241</v>
      </c>
      <c r="L23" s="34">
        <f t="shared" si="6"/>
        <v>4.8881798703439188</v>
      </c>
      <c r="M23" s="34">
        <f t="shared" si="7"/>
        <v>4.8981581144929134</v>
      </c>
      <c r="N23" s="34">
        <f t="shared" si="8"/>
        <v>4.908136358641908</v>
      </c>
      <c r="O23" s="34">
        <f t="shared" si="9"/>
        <v>4.9181146027909026</v>
      </c>
      <c r="P23" s="34">
        <f t="shared" si="10"/>
        <v>4.9280928469398972</v>
      </c>
      <c r="Q23" s="34">
        <f t="shared" si="11"/>
        <v>4.9380710910888919</v>
      </c>
    </row>
    <row r="24" spans="1:21" ht="13.25" x14ac:dyDescent="0.65">
      <c r="A24" s="31">
        <v>5</v>
      </c>
      <c r="B24" s="33">
        <v>5</v>
      </c>
      <c r="C24" s="36">
        <v>6</v>
      </c>
      <c r="D24" s="36">
        <v>7</v>
      </c>
      <c r="E24" s="31">
        <v>3.2580852947037209</v>
      </c>
      <c r="F24" s="32">
        <f t="shared" si="0"/>
        <v>5.0145213236759307</v>
      </c>
      <c r="G24" s="34">
        <f t="shared" si="1"/>
        <v>4.9448447354640797</v>
      </c>
      <c r="H24" s="34">
        <f t="shared" si="2"/>
        <v>4.9587800531064499</v>
      </c>
      <c r="I24" s="34">
        <f t="shared" si="3"/>
        <v>4.9727153707488192</v>
      </c>
      <c r="J24" s="34">
        <f t="shared" si="4"/>
        <v>4.9866506883911903</v>
      </c>
      <c r="K24" s="34">
        <f t="shared" si="5"/>
        <v>5.0005860060335605</v>
      </c>
      <c r="L24" s="34">
        <f t="shared" si="6"/>
        <v>5.0145213236759307</v>
      </c>
      <c r="M24" s="34">
        <f t="shared" si="7"/>
        <v>5.0284566413183009</v>
      </c>
      <c r="N24" s="34">
        <f t="shared" si="8"/>
        <v>5.0423919589606712</v>
      </c>
      <c r="O24" s="34">
        <f t="shared" si="9"/>
        <v>5.0563272766030414</v>
      </c>
      <c r="P24" s="34">
        <f t="shared" si="10"/>
        <v>5.0702625942454116</v>
      </c>
      <c r="Q24" s="34">
        <f t="shared" si="11"/>
        <v>5.0841979118877818</v>
      </c>
    </row>
    <row r="25" spans="1:21" ht="13.25" x14ac:dyDescent="0.65">
      <c r="A25" s="31">
        <v>5</v>
      </c>
      <c r="B25" s="33">
        <v>7</v>
      </c>
      <c r="C25" s="36">
        <v>6</v>
      </c>
      <c r="D25" s="36">
        <v>5</v>
      </c>
      <c r="E25" s="31">
        <v>3.3312819154530193</v>
      </c>
      <c r="F25" s="32">
        <f t="shared" si="0"/>
        <v>4.8328204788632547</v>
      </c>
      <c r="G25" s="34">
        <f t="shared" si="1"/>
        <v>4.7660717554813763</v>
      </c>
      <c r="H25" s="34">
        <f t="shared" si="2"/>
        <v>4.7794215001577518</v>
      </c>
      <c r="I25" s="34">
        <f t="shared" si="3"/>
        <v>4.7927712448341273</v>
      </c>
      <c r="J25" s="34">
        <f t="shared" si="4"/>
        <v>4.8061209895105028</v>
      </c>
      <c r="K25" s="34">
        <f t="shared" si="5"/>
        <v>4.8194707341868792</v>
      </c>
      <c r="L25" s="34">
        <f t="shared" si="6"/>
        <v>4.8328204788632547</v>
      </c>
      <c r="M25" s="34">
        <f t="shared" si="7"/>
        <v>4.8461702235396302</v>
      </c>
      <c r="N25" s="34">
        <f t="shared" si="8"/>
        <v>4.8595199682160066</v>
      </c>
      <c r="O25" s="34">
        <f t="shared" si="9"/>
        <v>4.8728697128923821</v>
      </c>
      <c r="P25" s="34">
        <f t="shared" si="10"/>
        <v>4.8862194575687585</v>
      </c>
      <c r="Q25" s="34">
        <f t="shared" si="11"/>
        <v>4.899569202245134</v>
      </c>
    </row>
    <row r="26" spans="1:21" ht="13.25" x14ac:dyDescent="0.65">
      <c r="A26" s="31">
        <v>5</v>
      </c>
      <c r="B26" s="33">
        <v>5</v>
      </c>
      <c r="C26" s="36">
        <v>7</v>
      </c>
      <c r="D26" s="36">
        <v>5</v>
      </c>
      <c r="E26" s="31">
        <v>3.2922785447626968</v>
      </c>
      <c r="F26" s="32">
        <f t="shared" si="0"/>
        <v>4.6730696361906743</v>
      </c>
      <c r="G26" s="34">
        <f t="shared" si="1"/>
        <v>4.6047607779811823</v>
      </c>
      <c r="H26" s="34">
        <f t="shared" si="2"/>
        <v>4.6184225496230802</v>
      </c>
      <c r="I26" s="34">
        <f t="shared" si="3"/>
        <v>4.6320843212649789</v>
      </c>
      <c r="J26" s="34">
        <f t="shared" si="4"/>
        <v>4.6457460929068777</v>
      </c>
      <c r="K26" s="34">
        <f t="shared" si="5"/>
        <v>4.6594078645487755</v>
      </c>
      <c r="L26" s="34">
        <f t="shared" si="6"/>
        <v>4.6730696361906743</v>
      </c>
      <c r="M26" s="34">
        <f t="shared" si="7"/>
        <v>4.686731407832573</v>
      </c>
      <c r="N26" s="34">
        <f t="shared" si="8"/>
        <v>4.7003931794744709</v>
      </c>
      <c r="O26" s="34">
        <f t="shared" si="9"/>
        <v>4.7140549511163696</v>
      </c>
      <c r="P26" s="34">
        <f t="shared" si="10"/>
        <v>4.7277167227582675</v>
      </c>
      <c r="Q26" s="34">
        <f t="shared" si="11"/>
        <v>4.7413784944001671</v>
      </c>
    </row>
    <row r="28" spans="1:21" x14ac:dyDescent="0.6">
      <c r="G28" s="13">
        <f>AVERAGE(G2:G27)</f>
        <v>4.6387410634077835</v>
      </c>
      <c r="H28" s="13">
        <f t="shared" ref="H28:Q28" si="16">AVERAGE(H2:H27)</f>
        <v>4.6512447582103267</v>
      </c>
      <c r="I28" s="13">
        <f t="shared" si="16"/>
        <v>4.6637484530128699</v>
      </c>
      <c r="J28" s="13">
        <f t="shared" si="16"/>
        <v>4.676252147815414</v>
      </c>
      <c r="K28" s="13">
        <f t="shared" si="16"/>
        <v>4.6887558426179581</v>
      </c>
      <c r="L28" s="13">
        <f t="shared" si="16"/>
        <v>4.7012595374205013</v>
      </c>
      <c r="M28" s="13">
        <f t="shared" si="16"/>
        <v>4.7137632322230463</v>
      </c>
      <c r="N28" s="13">
        <f t="shared" si="16"/>
        <v>4.7262669270255913</v>
      </c>
      <c r="O28" s="13">
        <f t="shared" si="16"/>
        <v>4.7387706218281345</v>
      </c>
      <c r="P28" s="13">
        <f t="shared" si="16"/>
        <v>4.7512743166306777</v>
      </c>
      <c r="Q28" s="13">
        <f t="shared" si="16"/>
        <v>4.7637780114332209</v>
      </c>
    </row>
  </sheetData>
  <mergeCells count="14">
    <mergeCell ref="R3:R7"/>
    <mergeCell ref="R8:R12"/>
    <mergeCell ref="AG1:AH1"/>
    <mergeCell ref="AI1:AJ1"/>
    <mergeCell ref="AK1:AL1"/>
    <mergeCell ref="AM1:AN1"/>
    <mergeCell ref="AO1:AP1"/>
    <mergeCell ref="AQ1:AR1"/>
    <mergeCell ref="R1:S2"/>
    <mergeCell ref="W1:X1"/>
    <mergeCell ref="Y1:Z1"/>
    <mergeCell ref="AA1:AB1"/>
    <mergeCell ref="AC1:AD1"/>
    <mergeCell ref="AE1:AF1"/>
  </mergeCells>
  <conditionalFormatting sqref="G2:Q2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E7D4-1E11-4CC2-8CD5-46C67C47F7F6}">
  <dimension ref="A1:O8"/>
  <sheetViews>
    <sheetView tabSelected="1" workbookViewId="0">
      <selection activeCell="I13" sqref="I13"/>
    </sheetView>
  </sheetViews>
  <sheetFormatPr defaultRowHeight="13" x14ac:dyDescent="0.6"/>
  <cols>
    <col min="1" max="1" width="17.31640625" customWidth="1"/>
  </cols>
  <sheetData>
    <row r="1" spans="1:15" x14ac:dyDescent="0.6">
      <c r="A1" s="68" t="s">
        <v>93</v>
      </c>
      <c r="B1" s="43" t="s">
        <v>98</v>
      </c>
      <c r="C1" s="43" t="s">
        <v>99</v>
      </c>
      <c r="D1" s="43" t="s">
        <v>100</v>
      </c>
      <c r="E1" s="43" t="s">
        <v>101</v>
      </c>
      <c r="F1" s="43" t="s">
        <v>102</v>
      </c>
      <c r="G1" s="43" t="s">
        <v>103</v>
      </c>
      <c r="H1" s="43" t="s">
        <v>104</v>
      </c>
      <c r="I1" s="43" t="s">
        <v>105</v>
      </c>
      <c r="J1" s="43" t="s">
        <v>106</v>
      </c>
      <c r="K1" s="43" t="s">
        <v>107</v>
      </c>
      <c r="L1" s="43" t="s">
        <v>108</v>
      </c>
      <c r="M1" s="68" t="s">
        <v>94</v>
      </c>
      <c r="N1" s="68" t="s">
        <v>95</v>
      </c>
      <c r="O1" s="68" t="s">
        <v>96</v>
      </c>
    </row>
    <row r="2" spans="1:15" ht="26" x14ac:dyDescent="0.6">
      <c r="A2" s="69" t="s">
        <v>75</v>
      </c>
      <c r="B2" s="65">
        <v>4.7172595374205013</v>
      </c>
      <c r="C2" s="65">
        <v>4.7140595374205017</v>
      </c>
      <c r="D2" s="65">
        <v>4.710859537420502</v>
      </c>
      <c r="E2" s="65">
        <v>4.7076595374205015</v>
      </c>
      <c r="F2" s="65">
        <v>4.7044595374205018</v>
      </c>
      <c r="G2" s="65">
        <v>4.7012595374205013</v>
      </c>
      <c r="H2" s="65">
        <v>4.6980595374205016</v>
      </c>
      <c r="I2" s="65">
        <v>4.694859537420502</v>
      </c>
      <c r="J2" s="65">
        <v>4.6916595374205023</v>
      </c>
      <c r="K2" s="65">
        <v>4.6884595374205018</v>
      </c>
      <c r="L2" s="65">
        <v>4.6852595374205022</v>
      </c>
      <c r="M2" s="66">
        <f>MIN(B2:L2)</f>
        <v>4.6852595374205022</v>
      </c>
      <c r="N2" s="66">
        <f>MAX(B2:L2)</f>
        <v>4.7172595374205013</v>
      </c>
      <c r="O2" s="67">
        <f>(N2-M2)/M2*100</f>
        <v>0.68299311370949012</v>
      </c>
    </row>
    <row r="3" spans="1:15" ht="28.5" x14ac:dyDescent="0.6">
      <c r="A3" s="69" t="s">
        <v>97</v>
      </c>
      <c r="B3" s="66">
        <v>4.6788595374205029</v>
      </c>
      <c r="C3" s="66">
        <v>4.683339537420502</v>
      </c>
      <c r="D3" s="66">
        <v>4.6878195374205021</v>
      </c>
      <c r="E3" s="66">
        <v>4.6922995374205012</v>
      </c>
      <c r="F3" s="66">
        <v>4.696779537420503</v>
      </c>
      <c r="G3" s="66">
        <v>4.7012595374205013</v>
      </c>
      <c r="H3" s="66">
        <v>4.7057395374205022</v>
      </c>
      <c r="I3" s="66">
        <v>4.7102195374205023</v>
      </c>
      <c r="J3" s="66">
        <v>4.7146995374205023</v>
      </c>
      <c r="K3" s="66">
        <v>4.7191795374205023</v>
      </c>
      <c r="L3" s="66">
        <v>4.7236595374205024</v>
      </c>
      <c r="M3" s="66">
        <f t="shared" ref="M3:M5" si="0">MIN(B3:L3)</f>
        <v>4.6788595374205029</v>
      </c>
      <c r="N3" s="66">
        <f t="shared" ref="N3:N5" si="1">MAX(B3:L3)</f>
        <v>4.7236595374205024</v>
      </c>
      <c r="O3" s="67">
        <f t="shared" ref="O3:O5" si="2">(N3-M3)/M3*100</f>
        <v>0.95749828866839948</v>
      </c>
    </row>
    <row r="4" spans="1:15" ht="26" x14ac:dyDescent="0.6">
      <c r="A4" s="69" t="s">
        <v>76</v>
      </c>
      <c r="B4" s="66">
        <v>4.7012595374205013</v>
      </c>
      <c r="C4" s="66">
        <v>4.7012595374205013</v>
      </c>
      <c r="D4" s="66">
        <v>4.7012595374205013</v>
      </c>
      <c r="E4" s="66">
        <v>4.7012595374205013</v>
      </c>
      <c r="F4" s="66">
        <v>4.7012595374205013</v>
      </c>
      <c r="G4" s="66">
        <v>4.7012595374205013</v>
      </c>
      <c r="H4" s="66">
        <v>4.7012595374205013</v>
      </c>
      <c r="I4" s="66">
        <v>4.7012595374205013</v>
      </c>
      <c r="J4" s="66">
        <v>4.7012595374205013</v>
      </c>
      <c r="K4" s="66">
        <v>4.7012595374205013</v>
      </c>
      <c r="L4" s="66">
        <v>4.7012595374205013</v>
      </c>
      <c r="M4" s="66">
        <f t="shared" si="0"/>
        <v>4.7012595374205013</v>
      </c>
      <c r="N4" s="66">
        <f t="shared" si="1"/>
        <v>4.7012595374205013</v>
      </c>
      <c r="O4" s="67">
        <f t="shared" si="2"/>
        <v>0</v>
      </c>
    </row>
    <row r="5" spans="1:15" ht="26" x14ac:dyDescent="0.6">
      <c r="A5" s="69" t="s">
        <v>77</v>
      </c>
      <c r="B5" s="66">
        <v>4.6387410634077835</v>
      </c>
      <c r="C5" s="66">
        <v>4.6512447582103267</v>
      </c>
      <c r="D5" s="66">
        <v>4.6637484530128699</v>
      </c>
      <c r="E5" s="66">
        <v>4.676252147815414</v>
      </c>
      <c r="F5" s="66">
        <v>4.6887558426179581</v>
      </c>
      <c r="G5" s="66">
        <v>4.7012595374205013</v>
      </c>
      <c r="H5" s="66">
        <v>4.7137632322230463</v>
      </c>
      <c r="I5" s="66">
        <v>4.7262669270255913</v>
      </c>
      <c r="J5" s="66">
        <v>4.7387706218281345</v>
      </c>
      <c r="K5" s="66">
        <v>4.7512743166306777</v>
      </c>
      <c r="L5" s="66">
        <v>4.7637780114332209</v>
      </c>
      <c r="M5" s="66">
        <f t="shared" si="0"/>
        <v>4.6387410634077835</v>
      </c>
      <c r="N5" s="66">
        <f t="shared" si="1"/>
        <v>4.7637780114332209</v>
      </c>
      <c r="O5" s="67">
        <f t="shared" si="2"/>
        <v>2.6954931589473294</v>
      </c>
    </row>
    <row r="6" spans="1:15" ht="13.25" x14ac:dyDescent="0.6">
      <c r="A6" s="68" t="s">
        <v>94</v>
      </c>
      <c r="B6" s="66">
        <f>MIN(B2:B5)</f>
        <v>4.6387410634077835</v>
      </c>
      <c r="C6" s="66">
        <f t="shared" ref="C6:L6" si="3">MIN(C2:C5)</f>
        <v>4.6512447582103267</v>
      </c>
      <c r="D6" s="66">
        <f t="shared" si="3"/>
        <v>4.6637484530128699</v>
      </c>
      <c r="E6" s="66">
        <f t="shared" si="3"/>
        <v>4.676252147815414</v>
      </c>
      <c r="F6" s="66">
        <f t="shared" si="3"/>
        <v>4.6887558426179581</v>
      </c>
      <c r="G6" s="66">
        <f t="shared" si="3"/>
        <v>4.7012595374205013</v>
      </c>
      <c r="H6" s="66">
        <f t="shared" si="3"/>
        <v>4.6980595374205016</v>
      </c>
      <c r="I6" s="66">
        <f t="shared" si="3"/>
        <v>4.694859537420502</v>
      </c>
      <c r="J6" s="66">
        <f t="shared" si="3"/>
        <v>4.6916595374205023</v>
      </c>
      <c r="K6" s="66">
        <f t="shared" si="3"/>
        <v>4.6884595374205018</v>
      </c>
      <c r="L6" s="66">
        <f t="shared" si="3"/>
        <v>4.6852595374205022</v>
      </c>
      <c r="M6" s="64"/>
      <c r="N6" s="64"/>
      <c r="O6" s="64"/>
    </row>
    <row r="7" spans="1:15" ht="13.25" x14ac:dyDescent="0.6">
      <c r="A7" s="68" t="s">
        <v>95</v>
      </c>
      <c r="B7" s="66">
        <f>MAX(B2:B5)</f>
        <v>4.7172595374205013</v>
      </c>
      <c r="C7" s="66">
        <f t="shared" ref="C7:L7" si="4">MAX(C2:C5)</f>
        <v>4.7140595374205017</v>
      </c>
      <c r="D7" s="66">
        <f t="shared" si="4"/>
        <v>4.710859537420502</v>
      </c>
      <c r="E7" s="66">
        <f t="shared" si="4"/>
        <v>4.7076595374205015</v>
      </c>
      <c r="F7" s="66">
        <f t="shared" si="4"/>
        <v>4.7044595374205018</v>
      </c>
      <c r="G7" s="66">
        <f t="shared" si="4"/>
        <v>4.7012595374205013</v>
      </c>
      <c r="H7" s="66">
        <f t="shared" si="4"/>
        <v>4.7137632322230463</v>
      </c>
      <c r="I7" s="66">
        <f t="shared" si="4"/>
        <v>4.7262669270255913</v>
      </c>
      <c r="J7" s="66">
        <f t="shared" si="4"/>
        <v>4.7387706218281345</v>
      </c>
      <c r="K7" s="66">
        <f t="shared" si="4"/>
        <v>4.7512743166306777</v>
      </c>
      <c r="L7" s="66">
        <f t="shared" si="4"/>
        <v>4.7637780114332209</v>
      </c>
      <c r="M7" s="64"/>
      <c r="N7" s="64"/>
      <c r="O7" s="64"/>
    </row>
    <row r="8" spans="1:15" ht="13.25" x14ac:dyDescent="0.6">
      <c r="A8" s="68" t="s">
        <v>96</v>
      </c>
      <c r="B8" s="66">
        <f>(B7-B6)/B6*100</f>
        <v>1.692667750569276</v>
      </c>
      <c r="C8" s="66">
        <f t="shared" ref="C8:L8" si="5">(C7-C6)/C6*100</f>
        <v>1.3504939532432692</v>
      </c>
      <c r="D8" s="66">
        <f t="shared" si="5"/>
        <v>1.010154918994344</v>
      </c>
      <c r="E8" s="66">
        <f t="shared" si="5"/>
        <v>0.67163593006335109</v>
      </c>
      <c r="F8" s="66">
        <f t="shared" si="5"/>
        <v>0.33492242568501102</v>
      </c>
      <c r="G8" s="66">
        <f t="shared" si="5"/>
        <v>0</v>
      </c>
      <c r="H8" s="66">
        <f t="shared" si="5"/>
        <v>0.33425916971598962</v>
      </c>
      <c r="I8" s="66">
        <f t="shared" si="5"/>
        <v>0.6689739992167143</v>
      </c>
      <c r="J8" s="66">
        <f t="shared" si="5"/>
        <v>1.0041454208660254</v>
      </c>
      <c r="K8" s="66">
        <f t="shared" si="5"/>
        <v>1.3397743695733231</v>
      </c>
      <c r="L8" s="66">
        <f t="shared" si="5"/>
        <v>1.6758617828020586</v>
      </c>
      <c r="M8" s="64"/>
      <c r="N8" s="64"/>
      <c r="O8" s="64"/>
    </row>
  </sheetData>
  <conditionalFormatting sqref="B2:L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L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{5D405C64-E5A6-4AED-BCC2-219880031520}</x14:id>
        </ext>
      </extLst>
    </cfRule>
  </conditionalFormatting>
  <conditionalFormatting sqref="O2:O5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{604D33FA-17EC-499F-ADA2-D096BEB0A18D}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405C64-E5A6-4AED-BCC2-2198800315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B8:L8</xm:sqref>
        </x14:conditionalFormatting>
        <x14:conditionalFormatting xmlns:xm="http://schemas.microsoft.com/office/excel/2006/main">
          <x14:cfRule type="dataBar" id="{604D33FA-17EC-499F-ADA2-D096BEB0A1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O2:O5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16B6-F410-4B43-808F-9CE38C5AC576}">
  <dimension ref="A1:H15"/>
  <sheetViews>
    <sheetView workbookViewId="0">
      <selection sqref="A1:H15"/>
    </sheetView>
  </sheetViews>
  <sheetFormatPr defaultRowHeight="13" x14ac:dyDescent="0.6"/>
  <cols>
    <col min="1" max="1" width="10.04296875" customWidth="1"/>
    <col min="2" max="8" width="7.6796875" customWidth="1"/>
  </cols>
  <sheetData>
    <row r="1" spans="1:8" x14ac:dyDescent="0.6">
      <c r="A1" s="68" t="s">
        <v>93</v>
      </c>
      <c r="B1" s="69" t="s">
        <v>109</v>
      </c>
      <c r="C1" s="69" t="s">
        <v>110</v>
      </c>
      <c r="D1" s="69" t="s">
        <v>111</v>
      </c>
      <c r="E1" s="69" t="s">
        <v>112</v>
      </c>
      <c r="F1" s="68" t="s">
        <v>94</v>
      </c>
      <c r="G1" s="68" t="s">
        <v>95</v>
      </c>
      <c r="H1" s="68" t="s">
        <v>96</v>
      </c>
    </row>
    <row r="2" spans="1:8" ht="13.25" x14ac:dyDescent="0.6">
      <c r="A2" s="43" t="s">
        <v>98</v>
      </c>
      <c r="B2" s="65">
        <v>4.7172595374205013</v>
      </c>
      <c r="C2" s="66">
        <v>4.6788595374205029</v>
      </c>
      <c r="D2" s="66">
        <v>4.7012595374205013</v>
      </c>
      <c r="E2" s="66">
        <v>4.6387410634077835</v>
      </c>
      <c r="F2" s="66">
        <f t="shared" ref="F2:F12" si="0">MIN(B2:E2)</f>
        <v>4.6387410634077835</v>
      </c>
      <c r="G2" s="66">
        <f t="shared" ref="G2:G12" si="1">MAX(B2:E2)</f>
        <v>4.7172595374205013</v>
      </c>
      <c r="H2" s="66">
        <f t="shared" ref="H2:H12" si="2">(G2-F2)/F2*100</f>
        <v>1.692667750569276</v>
      </c>
    </row>
    <row r="3" spans="1:8" ht="13.25" x14ac:dyDescent="0.6">
      <c r="A3" s="43" t="s">
        <v>99</v>
      </c>
      <c r="B3" s="65">
        <v>4.7140595374205017</v>
      </c>
      <c r="C3" s="66">
        <v>4.683339537420502</v>
      </c>
      <c r="D3" s="66">
        <v>4.7012595374205013</v>
      </c>
      <c r="E3" s="66">
        <v>4.6512447582103267</v>
      </c>
      <c r="F3" s="66">
        <f t="shared" si="0"/>
        <v>4.6512447582103267</v>
      </c>
      <c r="G3" s="66">
        <f t="shared" si="1"/>
        <v>4.7140595374205017</v>
      </c>
      <c r="H3" s="66">
        <f t="shared" si="2"/>
        <v>1.3504939532432692</v>
      </c>
    </row>
    <row r="4" spans="1:8" ht="13.25" x14ac:dyDescent="0.6">
      <c r="A4" s="43" t="s">
        <v>100</v>
      </c>
      <c r="B4" s="65">
        <v>4.710859537420502</v>
      </c>
      <c r="C4" s="66">
        <v>4.6878195374205021</v>
      </c>
      <c r="D4" s="66">
        <v>4.7012595374205013</v>
      </c>
      <c r="E4" s="66">
        <v>4.6637484530128699</v>
      </c>
      <c r="F4" s="66">
        <f t="shared" si="0"/>
        <v>4.6637484530128699</v>
      </c>
      <c r="G4" s="66">
        <f t="shared" si="1"/>
        <v>4.710859537420502</v>
      </c>
      <c r="H4" s="66">
        <f t="shared" si="2"/>
        <v>1.010154918994344</v>
      </c>
    </row>
    <row r="5" spans="1:8" ht="13.25" x14ac:dyDescent="0.6">
      <c r="A5" s="43" t="s">
        <v>101</v>
      </c>
      <c r="B5" s="65">
        <v>4.7076595374205015</v>
      </c>
      <c r="C5" s="66">
        <v>4.6922995374205012</v>
      </c>
      <c r="D5" s="66">
        <v>4.7012595374205013</v>
      </c>
      <c r="E5" s="66">
        <v>4.676252147815414</v>
      </c>
      <c r="F5" s="66">
        <f t="shared" si="0"/>
        <v>4.676252147815414</v>
      </c>
      <c r="G5" s="66">
        <f t="shared" si="1"/>
        <v>4.7076595374205015</v>
      </c>
      <c r="H5" s="66">
        <f t="shared" si="2"/>
        <v>0.67163593006335109</v>
      </c>
    </row>
    <row r="6" spans="1:8" ht="13.25" x14ac:dyDescent="0.6">
      <c r="A6" s="43" t="s">
        <v>102</v>
      </c>
      <c r="B6" s="65">
        <v>4.7044595374205018</v>
      </c>
      <c r="C6" s="66">
        <v>4.696779537420503</v>
      </c>
      <c r="D6" s="66">
        <v>4.7012595374205013</v>
      </c>
      <c r="E6" s="66">
        <v>4.6887558426179581</v>
      </c>
      <c r="F6" s="66">
        <f t="shared" si="0"/>
        <v>4.6887558426179581</v>
      </c>
      <c r="G6" s="66">
        <f t="shared" si="1"/>
        <v>4.7044595374205018</v>
      </c>
      <c r="H6" s="66">
        <f t="shared" si="2"/>
        <v>0.33492242568501102</v>
      </c>
    </row>
    <row r="7" spans="1:8" ht="13.25" x14ac:dyDescent="0.6">
      <c r="A7" s="43" t="s">
        <v>103</v>
      </c>
      <c r="B7" s="65">
        <v>4.7012595374205013</v>
      </c>
      <c r="C7" s="66">
        <v>4.7012595374205013</v>
      </c>
      <c r="D7" s="66">
        <v>4.7012595374205013</v>
      </c>
      <c r="E7" s="66">
        <v>4.7012595374205013</v>
      </c>
      <c r="F7" s="66">
        <f t="shared" si="0"/>
        <v>4.7012595374205013</v>
      </c>
      <c r="G7" s="66">
        <f t="shared" si="1"/>
        <v>4.7012595374205013</v>
      </c>
      <c r="H7" s="66">
        <f t="shared" si="2"/>
        <v>0</v>
      </c>
    </row>
    <row r="8" spans="1:8" ht="13.25" x14ac:dyDescent="0.6">
      <c r="A8" s="43" t="s">
        <v>104</v>
      </c>
      <c r="B8" s="65">
        <v>4.6980595374205016</v>
      </c>
      <c r="C8" s="66">
        <v>4.7057395374205022</v>
      </c>
      <c r="D8" s="66">
        <v>4.7012595374205013</v>
      </c>
      <c r="E8" s="66">
        <v>4.7137632322230463</v>
      </c>
      <c r="F8" s="66">
        <f t="shared" si="0"/>
        <v>4.6980595374205016</v>
      </c>
      <c r="G8" s="66">
        <f t="shared" si="1"/>
        <v>4.7137632322230463</v>
      </c>
      <c r="H8" s="66">
        <f t="shared" si="2"/>
        <v>0.33425916971598962</v>
      </c>
    </row>
    <row r="9" spans="1:8" ht="13.25" x14ac:dyDescent="0.6">
      <c r="A9" s="43" t="s">
        <v>105</v>
      </c>
      <c r="B9" s="65">
        <v>4.694859537420502</v>
      </c>
      <c r="C9" s="66">
        <v>4.7102195374205023</v>
      </c>
      <c r="D9" s="66">
        <v>4.7012595374205013</v>
      </c>
      <c r="E9" s="66">
        <v>4.7262669270255913</v>
      </c>
      <c r="F9" s="66">
        <f t="shared" si="0"/>
        <v>4.694859537420502</v>
      </c>
      <c r="G9" s="66">
        <f t="shared" si="1"/>
        <v>4.7262669270255913</v>
      </c>
      <c r="H9" s="66">
        <f t="shared" si="2"/>
        <v>0.6689739992167143</v>
      </c>
    </row>
    <row r="10" spans="1:8" ht="13.25" x14ac:dyDescent="0.6">
      <c r="A10" s="43" t="s">
        <v>106</v>
      </c>
      <c r="B10" s="65">
        <v>4.6916595374205023</v>
      </c>
      <c r="C10" s="66">
        <v>4.7146995374205023</v>
      </c>
      <c r="D10" s="66">
        <v>4.7012595374205013</v>
      </c>
      <c r="E10" s="66">
        <v>4.7387706218281345</v>
      </c>
      <c r="F10" s="66">
        <f t="shared" si="0"/>
        <v>4.6916595374205023</v>
      </c>
      <c r="G10" s="66">
        <f t="shared" si="1"/>
        <v>4.7387706218281345</v>
      </c>
      <c r="H10" s="66">
        <f t="shared" si="2"/>
        <v>1.0041454208660254</v>
      </c>
    </row>
    <row r="11" spans="1:8" ht="13.25" x14ac:dyDescent="0.6">
      <c r="A11" s="43" t="s">
        <v>107</v>
      </c>
      <c r="B11" s="65">
        <v>4.6884595374205018</v>
      </c>
      <c r="C11" s="66">
        <v>4.7191795374205023</v>
      </c>
      <c r="D11" s="66">
        <v>4.7012595374205013</v>
      </c>
      <c r="E11" s="66">
        <v>4.7512743166306777</v>
      </c>
      <c r="F11" s="66">
        <f t="shared" si="0"/>
        <v>4.6884595374205018</v>
      </c>
      <c r="G11" s="66">
        <f t="shared" si="1"/>
        <v>4.7512743166306777</v>
      </c>
      <c r="H11" s="66">
        <f t="shared" si="2"/>
        <v>1.3397743695733231</v>
      </c>
    </row>
    <row r="12" spans="1:8" ht="13.25" x14ac:dyDescent="0.6">
      <c r="A12" s="43" t="s">
        <v>108</v>
      </c>
      <c r="B12" s="65">
        <v>4.6852595374205022</v>
      </c>
      <c r="C12" s="66">
        <v>4.7236595374205024</v>
      </c>
      <c r="D12" s="66">
        <v>4.7012595374205013</v>
      </c>
      <c r="E12" s="66">
        <v>4.7637780114332209</v>
      </c>
      <c r="F12" s="66">
        <f t="shared" si="0"/>
        <v>4.6852595374205022</v>
      </c>
      <c r="G12" s="66">
        <f t="shared" si="1"/>
        <v>4.7637780114332209</v>
      </c>
      <c r="H12" s="66">
        <f t="shared" si="2"/>
        <v>1.6758617828020586</v>
      </c>
    </row>
    <row r="13" spans="1:8" ht="13.25" x14ac:dyDescent="0.6">
      <c r="A13" s="68" t="s">
        <v>94</v>
      </c>
      <c r="B13" s="66">
        <f>MIN(B2:B12)</f>
        <v>4.6852595374205022</v>
      </c>
      <c r="C13" s="66">
        <f>MIN(C2:C12)</f>
        <v>4.6788595374205029</v>
      </c>
      <c r="D13" s="66">
        <f>MIN(D2:D12)</f>
        <v>4.7012595374205013</v>
      </c>
      <c r="E13" s="66">
        <f>MIN(E2:E12)</f>
        <v>4.6387410634077835</v>
      </c>
      <c r="F13" s="64"/>
      <c r="G13" s="64"/>
      <c r="H13" s="64"/>
    </row>
    <row r="14" spans="1:8" ht="13.25" x14ac:dyDescent="0.6">
      <c r="A14" s="68" t="s">
        <v>95</v>
      </c>
      <c r="B14" s="66">
        <f>MAX(B2:B12)</f>
        <v>4.7172595374205013</v>
      </c>
      <c r="C14" s="66">
        <f>MAX(C2:C12)</f>
        <v>4.7236595374205024</v>
      </c>
      <c r="D14" s="66">
        <f>MAX(D2:D12)</f>
        <v>4.7012595374205013</v>
      </c>
      <c r="E14" s="66">
        <f>MAX(E2:E12)</f>
        <v>4.7637780114332209</v>
      </c>
      <c r="F14" s="64"/>
      <c r="G14" s="64"/>
      <c r="H14" s="64"/>
    </row>
    <row r="15" spans="1:8" ht="13.25" x14ac:dyDescent="0.6">
      <c r="A15" s="68" t="s">
        <v>96</v>
      </c>
      <c r="B15" s="67">
        <f>(B14-B13)/B13*100</f>
        <v>0.68299311370949012</v>
      </c>
      <c r="C15" s="67">
        <f>(C14-C13)/C13*100</f>
        <v>0.95749828866839948</v>
      </c>
      <c r="D15" s="67">
        <f>(D14-D13)/D13*100</f>
        <v>0</v>
      </c>
      <c r="E15" s="67">
        <f>(E14-E13)/E13*100</f>
        <v>2.6954931589473294</v>
      </c>
      <c r="F15" s="64"/>
      <c r="G15" s="64"/>
      <c r="H15" s="64"/>
    </row>
  </sheetData>
  <conditionalFormatting sqref="B2:E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E1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{149CD68F-DC31-4479-BE2B-158F382FED31}</x14:id>
        </ext>
      </extLst>
    </cfRule>
  </conditionalFormatting>
  <conditionalFormatting sqref="H2:H1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{A68EA6E4-EF25-4596-8F7E-2382E0F82BC0}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9CD68F-DC31-4479-BE2B-158F382FED3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B15:E15</xm:sqref>
        </x14:conditionalFormatting>
        <x14:conditionalFormatting xmlns:xm="http://schemas.microsoft.com/office/excel/2006/main">
          <x14:cfRule type="dataBar" id="{A68EA6E4-EF25-4596-8F7E-2382E0F82B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6"/>
  <sheetViews>
    <sheetView workbookViewId="0">
      <pane ySplit="1" topLeftCell="A23" activePane="bottomLeft" state="frozen"/>
      <selection pane="bottomLeft" activeCell="H7" sqref="H7"/>
    </sheetView>
  </sheetViews>
  <sheetFormatPr defaultRowHeight="13" x14ac:dyDescent="0.6"/>
  <cols>
    <col min="1" max="1" width="10.08984375" style="4" bestFit="1" customWidth="1"/>
    <col min="2" max="2" width="7.1328125" style="4" bestFit="1" customWidth="1"/>
    <col min="3" max="3" width="11.6796875" style="4" bestFit="1" customWidth="1"/>
    <col min="4" max="4" width="3.953125" style="4" bestFit="1" customWidth="1"/>
    <col min="5" max="5" width="4.6328125" style="4" bestFit="1" customWidth="1"/>
    <col min="6" max="6" width="7.1796875" style="4" bestFit="1" customWidth="1"/>
    <col min="7" max="7" width="5.953125" style="4" bestFit="1" customWidth="1"/>
    <col min="8" max="16384" width="8.7265625" style="4"/>
  </cols>
  <sheetData>
    <row r="1" spans="1:7" x14ac:dyDescent="0.6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 x14ac:dyDescent="0.6">
      <c r="A2" s="2">
        <v>1</v>
      </c>
      <c r="B2" s="2">
        <v>72616</v>
      </c>
      <c r="C2" s="3">
        <v>11346250</v>
      </c>
      <c r="D2" s="2">
        <v>5</v>
      </c>
      <c r="E2" s="2">
        <v>5</v>
      </c>
      <c r="F2" s="2">
        <v>0</v>
      </c>
      <c r="G2" s="3">
        <v>5</v>
      </c>
    </row>
    <row r="3" spans="1:7" x14ac:dyDescent="0.6">
      <c r="A3" s="2">
        <v>2</v>
      </c>
      <c r="B3" s="2">
        <v>161293</v>
      </c>
      <c r="C3" s="3">
        <v>25202031.25</v>
      </c>
      <c r="D3" s="2">
        <v>7</v>
      </c>
      <c r="E3" s="2">
        <v>7</v>
      </c>
      <c r="F3" s="2">
        <v>0</v>
      </c>
      <c r="G3" s="3">
        <v>7</v>
      </c>
    </row>
    <row r="4" spans="1:7" x14ac:dyDescent="0.6">
      <c r="A4" s="2">
        <v>3</v>
      </c>
      <c r="B4" s="2">
        <v>77374</v>
      </c>
      <c r="C4" s="3">
        <v>12089687.5</v>
      </c>
      <c r="D4" s="2">
        <v>7</v>
      </c>
      <c r="E4" s="2">
        <v>7</v>
      </c>
      <c r="F4" s="2">
        <v>0</v>
      </c>
      <c r="G4" s="3">
        <v>7</v>
      </c>
    </row>
    <row r="5" spans="1:7" x14ac:dyDescent="0.6">
      <c r="A5" s="2">
        <v>4</v>
      </c>
      <c r="B5" s="2">
        <v>539560</v>
      </c>
      <c r="C5" s="3">
        <v>84306250</v>
      </c>
      <c r="D5" s="2">
        <v>5</v>
      </c>
      <c r="E5" s="2">
        <v>5</v>
      </c>
      <c r="F5" s="2">
        <v>0</v>
      </c>
      <c r="G5" s="3">
        <v>5</v>
      </c>
    </row>
    <row r="6" spans="1:7" x14ac:dyDescent="0.6">
      <c r="A6" s="2">
        <v>5</v>
      </c>
      <c r="B6" s="2">
        <v>184776</v>
      </c>
      <c r="C6" s="3">
        <v>28871250</v>
      </c>
      <c r="D6" s="2">
        <v>5</v>
      </c>
      <c r="E6" s="2">
        <v>5</v>
      </c>
      <c r="F6" s="2">
        <v>0</v>
      </c>
      <c r="G6" s="3">
        <v>5</v>
      </c>
    </row>
    <row r="7" spans="1:7" x14ac:dyDescent="0.6">
      <c r="A7" s="2">
        <v>6</v>
      </c>
      <c r="B7" s="2">
        <v>98036</v>
      </c>
      <c r="C7" s="3">
        <v>15318125</v>
      </c>
      <c r="D7" s="2">
        <v>5</v>
      </c>
      <c r="E7" s="2">
        <v>5</v>
      </c>
      <c r="F7" s="2">
        <v>0</v>
      </c>
      <c r="G7" s="3">
        <v>5</v>
      </c>
    </row>
    <row r="8" spans="1:7" x14ac:dyDescent="0.6">
      <c r="A8" s="2">
        <v>7</v>
      </c>
      <c r="B8" s="2">
        <v>186888</v>
      </c>
      <c r="C8" s="3">
        <v>29201250</v>
      </c>
      <c r="D8" s="2">
        <v>7</v>
      </c>
      <c r="E8" s="2">
        <v>7</v>
      </c>
      <c r="F8" s="2">
        <v>0</v>
      </c>
      <c r="G8" s="3">
        <v>7</v>
      </c>
    </row>
    <row r="9" spans="1:7" x14ac:dyDescent="0.6">
      <c r="A9" s="2">
        <v>8</v>
      </c>
      <c r="B9" s="2">
        <v>271040</v>
      </c>
      <c r="C9" s="3">
        <v>42350000</v>
      </c>
      <c r="D9" s="2">
        <v>5</v>
      </c>
      <c r="E9" s="2">
        <v>5</v>
      </c>
      <c r="F9" s="2">
        <v>0</v>
      </c>
      <c r="G9" s="3">
        <v>5</v>
      </c>
    </row>
    <row r="10" spans="1:7" x14ac:dyDescent="0.6">
      <c r="A10" s="2">
        <v>9</v>
      </c>
      <c r="B10" s="2">
        <v>144412</v>
      </c>
      <c r="C10" s="3">
        <v>22564375</v>
      </c>
      <c r="D10" s="2">
        <v>5</v>
      </c>
      <c r="E10" s="2">
        <v>5</v>
      </c>
      <c r="F10" s="2">
        <v>0</v>
      </c>
      <c r="G10" s="3">
        <v>5</v>
      </c>
    </row>
    <row r="11" spans="1:7" x14ac:dyDescent="0.6">
      <c r="A11" s="2">
        <v>10</v>
      </c>
      <c r="B11" s="2">
        <v>42233</v>
      </c>
      <c r="C11" s="3">
        <v>6598906.25</v>
      </c>
      <c r="D11" s="2">
        <v>5</v>
      </c>
      <c r="E11" s="2">
        <v>5</v>
      </c>
      <c r="F11" s="2">
        <v>0</v>
      </c>
      <c r="G11" s="3">
        <v>5</v>
      </c>
    </row>
    <row r="12" spans="1:7" x14ac:dyDescent="0.6">
      <c r="A12" s="2">
        <v>11</v>
      </c>
      <c r="B12" s="2">
        <v>745</v>
      </c>
      <c r="C12" s="3">
        <v>116406.25</v>
      </c>
      <c r="D12" s="2">
        <v>5</v>
      </c>
      <c r="E12" s="2">
        <v>5</v>
      </c>
      <c r="F12" s="2">
        <v>0</v>
      </c>
      <c r="G12" s="3">
        <v>5</v>
      </c>
    </row>
    <row r="13" spans="1:7" x14ac:dyDescent="0.6">
      <c r="A13" s="2">
        <v>12</v>
      </c>
      <c r="B13" s="2">
        <v>51663</v>
      </c>
      <c r="C13" s="3">
        <v>8072343.75</v>
      </c>
      <c r="D13" s="2">
        <v>5</v>
      </c>
      <c r="E13" s="2">
        <v>5</v>
      </c>
      <c r="F13" s="2">
        <v>0</v>
      </c>
      <c r="G13" s="3">
        <v>5</v>
      </c>
    </row>
    <row r="14" spans="1:7" x14ac:dyDescent="0.6">
      <c r="A14" s="2">
        <v>13</v>
      </c>
      <c r="B14" s="2">
        <v>70185</v>
      </c>
      <c r="C14" s="3">
        <v>10966406.25</v>
      </c>
      <c r="D14" s="2">
        <v>5</v>
      </c>
      <c r="E14" s="2">
        <v>5</v>
      </c>
      <c r="F14" s="2">
        <v>0</v>
      </c>
      <c r="G14" s="3">
        <v>5</v>
      </c>
    </row>
    <row r="15" spans="1:7" x14ac:dyDescent="0.6">
      <c r="A15" s="2">
        <v>14</v>
      </c>
      <c r="B15" s="2">
        <v>48959</v>
      </c>
      <c r="C15" s="3">
        <v>7649843.75</v>
      </c>
      <c r="D15" s="2">
        <v>5</v>
      </c>
      <c r="E15" s="2">
        <v>5</v>
      </c>
      <c r="F15" s="2">
        <v>0</v>
      </c>
      <c r="G15" s="3">
        <v>5</v>
      </c>
    </row>
    <row r="16" spans="1:7" x14ac:dyDescent="0.6">
      <c r="A16" s="2">
        <v>15</v>
      </c>
      <c r="B16" s="2">
        <v>136963</v>
      </c>
      <c r="C16" s="3">
        <v>21400468.75</v>
      </c>
      <c r="D16" s="2">
        <v>7</v>
      </c>
      <c r="E16" s="2">
        <v>7</v>
      </c>
      <c r="F16" s="2">
        <v>0</v>
      </c>
      <c r="G16" s="3">
        <v>7</v>
      </c>
    </row>
    <row r="17" spans="1:7" x14ac:dyDescent="0.6">
      <c r="A17" s="2">
        <v>16</v>
      </c>
      <c r="B17" s="2">
        <v>24262</v>
      </c>
      <c r="C17" s="3">
        <v>3790937.5</v>
      </c>
      <c r="D17" s="2">
        <v>5</v>
      </c>
      <c r="E17" s="2">
        <v>5</v>
      </c>
      <c r="F17" s="2">
        <v>0</v>
      </c>
      <c r="G17" s="3">
        <v>5</v>
      </c>
    </row>
    <row r="18" spans="1:7" x14ac:dyDescent="0.6">
      <c r="A18" s="2">
        <v>17</v>
      </c>
      <c r="B18" s="2">
        <v>93435</v>
      </c>
      <c r="C18" s="3">
        <v>14599218.75</v>
      </c>
      <c r="D18" s="2">
        <v>5</v>
      </c>
      <c r="E18" s="2">
        <v>5</v>
      </c>
      <c r="F18" s="2">
        <v>0</v>
      </c>
      <c r="G18" s="3">
        <v>5</v>
      </c>
    </row>
    <row r="19" spans="1:7" x14ac:dyDescent="0.6">
      <c r="A19" s="2">
        <v>18</v>
      </c>
      <c r="B19" s="2">
        <v>83330</v>
      </c>
      <c r="C19" s="3">
        <v>13020312.5</v>
      </c>
      <c r="D19" s="2">
        <v>5</v>
      </c>
      <c r="E19" s="2">
        <v>5</v>
      </c>
      <c r="F19" s="2">
        <v>0</v>
      </c>
      <c r="G19" s="3">
        <v>5</v>
      </c>
    </row>
    <row r="20" spans="1:7" x14ac:dyDescent="0.6">
      <c r="A20" s="2">
        <v>19</v>
      </c>
      <c r="B20" s="2">
        <v>108151</v>
      </c>
      <c r="C20" s="3">
        <v>16898593.75</v>
      </c>
      <c r="D20" s="2">
        <v>5</v>
      </c>
      <c r="E20" s="2">
        <v>5</v>
      </c>
      <c r="F20" s="2">
        <v>0</v>
      </c>
      <c r="G20" s="3">
        <v>5</v>
      </c>
    </row>
    <row r="21" spans="1:7" x14ac:dyDescent="0.6">
      <c r="A21" s="2">
        <v>20</v>
      </c>
      <c r="B21" s="2">
        <v>53310</v>
      </c>
      <c r="C21" s="3">
        <v>8329687.5</v>
      </c>
      <c r="D21" s="2">
        <v>5</v>
      </c>
      <c r="E21" s="2">
        <v>5</v>
      </c>
      <c r="F21" s="2">
        <v>0</v>
      </c>
      <c r="G21" s="3">
        <v>5</v>
      </c>
    </row>
    <row r="22" spans="1:7" x14ac:dyDescent="0.6">
      <c r="A22" s="2">
        <v>21</v>
      </c>
      <c r="B22" s="2">
        <v>147559</v>
      </c>
      <c r="C22" s="3">
        <v>23056093.75</v>
      </c>
      <c r="D22" s="2">
        <v>5</v>
      </c>
      <c r="E22" s="2">
        <v>5</v>
      </c>
      <c r="F22" s="2">
        <v>0</v>
      </c>
      <c r="G22" s="3">
        <v>5</v>
      </c>
    </row>
    <row r="23" spans="1:7" x14ac:dyDescent="0.6">
      <c r="A23" s="2">
        <v>22</v>
      </c>
      <c r="B23" s="2">
        <v>128677</v>
      </c>
      <c r="C23" s="3">
        <v>20105781.25</v>
      </c>
      <c r="D23" s="2">
        <v>7</v>
      </c>
      <c r="E23" s="2">
        <v>7</v>
      </c>
      <c r="F23" s="2">
        <v>0</v>
      </c>
      <c r="G23" s="3">
        <v>7</v>
      </c>
    </row>
    <row r="24" spans="1:7" x14ac:dyDescent="0.6">
      <c r="A24" s="2">
        <v>23</v>
      </c>
      <c r="B24" s="2">
        <v>222064</v>
      </c>
      <c r="C24" s="3">
        <v>34697500</v>
      </c>
      <c r="D24" s="2">
        <v>5</v>
      </c>
      <c r="E24" s="2">
        <v>5</v>
      </c>
      <c r="F24" s="2">
        <v>0</v>
      </c>
      <c r="G24" s="3">
        <v>5</v>
      </c>
    </row>
    <row r="25" spans="1:7" x14ac:dyDescent="0.6">
      <c r="A25" s="2">
        <v>24</v>
      </c>
      <c r="B25" s="2">
        <v>258727</v>
      </c>
      <c r="C25" s="3">
        <v>40426093.75</v>
      </c>
      <c r="D25" s="2">
        <v>7</v>
      </c>
      <c r="E25" s="2">
        <v>7</v>
      </c>
      <c r="F25" s="2">
        <v>0</v>
      </c>
      <c r="G25" s="3">
        <v>7</v>
      </c>
    </row>
    <row r="26" spans="1:7" x14ac:dyDescent="0.6">
      <c r="A26" s="2">
        <v>25</v>
      </c>
      <c r="B26" s="2">
        <v>503074</v>
      </c>
      <c r="C26" s="3">
        <v>78605312.5</v>
      </c>
      <c r="D26" s="2">
        <v>5</v>
      </c>
      <c r="E26" s="2">
        <v>5</v>
      </c>
      <c r="F26" s="2">
        <v>0</v>
      </c>
      <c r="G26" s="3">
        <v>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36"/>
  <sheetViews>
    <sheetView zoomScale="70" zoomScaleNormal="70" workbookViewId="0">
      <pane ySplit="1" topLeftCell="A2" activePane="bottomLeft" state="frozen"/>
      <selection pane="bottomLeft" activeCell="I11" sqref="I11"/>
    </sheetView>
  </sheetViews>
  <sheetFormatPr defaultRowHeight="13" x14ac:dyDescent="0.6"/>
  <cols>
    <col min="1" max="7" width="16" style="16" customWidth="1"/>
    <col min="8" max="9" width="16" customWidth="1"/>
    <col min="10" max="10" width="14.54296875" customWidth="1"/>
    <col min="11" max="11" width="12.26953125" customWidth="1"/>
  </cols>
  <sheetData>
    <row r="1" spans="1:9" x14ac:dyDescent="0.6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/>
      <c r="I1" s="1"/>
    </row>
    <row r="2" spans="1:9" x14ac:dyDescent="0.6">
      <c r="A2" s="56">
        <v>1</v>
      </c>
      <c r="B2" s="56">
        <v>72616</v>
      </c>
      <c r="C2" s="57">
        <v>11346250</v>
      </c>
      <c r="D2" s="62">
        <v>4.309999942779541E-2</v>
      </c>
      <c r="E2" s="62">
        <v>4.309999942779541E-2</v>
      </c>
      <c r="F2" s="62">
        <v>0</v>
      </c>
      <c r="G2" s="63">
        <v>4.309999942779541E-2</v>
      </c>
      <c r="H2" s="61"/>
      <c r="I2" s="61"/>
    </row>
    <row r="3" spans="1:9" x14ac:dyDescent="0.6">
      <c r="A3" s="56">
        <v>2</v>
      </c>
      <c r="B3" s="56">
        <v>161293</v>
      </c>
      <c r="C3" s="57">
        <v>25202031.25</v>
      </c>
      <c r="D3" s="62">
        <v>8.3800002932548523E-2</v>
      </c>
      <c r="E3" s="62">
        <v>8.3800002932548523E-2</v>
      </c>
      <c r="F3" s="62">
        <v>0</v>
      </c>
      <c r="G3" s="63">
        <v>8.3800002932548523E-2</v>
      </c>
      <c r="H3" s="61"/>
      <c r="I3" s="61"/>
    </row>
    <row r="4" spans="1:9" x14ac:dyDescent="0.6">
      <c r="A4" s="56">
        <v>3</v>
      </c>
      <c r="B4" s="56">
        <v>77374</v>
      </c>
      <c r="C4" s="57">
        <v>12089687.5</v>
      </c>
      <c r="D4" s="62">
        <v>4.1200000792741776E-2</v>
      </c>
      <c r="E4" s="62">
        <v>4.1200000792741776E-2</v>
      </c>
      <c r="F4" s="62">
        <v>0</v>
      </c>
      <c r="G4" s="63">
        <v>4.1200000792741776E-2</v>
      </c>
      <c r="H4" s="61"/>
      <c r="I4" s="61"/>
    </row>
    <row r="5" spans="1:9" x14ac:dyDescent="0.6">
      <c r="A5" s="56">
        <v>4</v>
      </c>
      <c r="B5" s="56">
        <v>539560</v>
      </c>
      <c r="C5" s="57">
        <v>84306250</v>
      </c>
      <c r="D5" s="62">
        <v>0.30270001292228699</v>
      </c>
      <c r="E5" s="62">
        <v>0.30270001292228699</v>
      </c>
      <c r="F5" s="62">
        <v>0</v>
      </c>
      <c r="G5" s="63">
        <v>0.30270001292228699</v>
      </c>
      <c r="H5" s="61"/>
      <c r="I5" s="61"/>
    </row>
    <row r="6" spans="1:9" x14ac:dyDescent="0.6">
      <c r="A6" s="56">
        <v>5</v>
      </c>
      <c r="B6" s="56">
        <v>184776</v>
      </c>
      <c r="C6" s="57">
        <v>28871250</v>
      </c>
      <c r="D6" s="62">
        <v>0.10140000283718109</v>
      </c>
      <c r="E6" s="62">
        <v>0.10140000283718109</v>
      </c>
      <c r="F6" s="62">
        <v>0</v>
      </c>
      <c r="G6" s="63">
        <v>0.10140000283718109</v>
      </c>
      <c r="H6" s="61"/>
      <c r="I6" s="61"/>
    </row>
    <row r="7" spans="1:9" x14ac:dyDescent="0.6">
      <c r="A7" s="56">
        <v>6</v>
      </c>
      <c r="B7" s="56">
        <v>98036</v>
      </c>
      <c r="C7" s="57">
        <v>15318125</v>
      </c>
      <c r="D7" s="62">
        <v>7.3600001633167267E-2</v>
      </c>
      <c r="E7" s="62">
        <v>7.3600001633167267E-2</v>
      </c>
      <c r="F7" s="62">
        <v>0</v>
      </c>
      <c r="G7" s="63">
        <v>7.3600001633167267E-2</v>
      </c>
      <c r="H7" s="61"/>
      <c r="I7" s="61"/>
    </row>
    <row r="8" spans="1:9" x14ac:dyDescent="0.6">
      <c r="A8" s="56">
        <v>7</v>
      </c>
      <c r="B8" s="56">
        <v>186888</v>
      </c>
      <c r="C8" s="57">
        <v>29201250</v>
      </c>
      <c r="D8" s="62">
        <v>0.14229999482631683</v>
      </c>
      <c r="E8" s="62">
        <v>0.14229999482631683</v>
      </c>
      <c r="F8" s="62">
        <v>0</v>
      </c>
      <c r="G8" s="63">
        <v>0.14229999482631683</v>
      </c>
      <c r="H8" s="61"/>
      <c r="I8" s="61"/>
    </row>
    <row r="9" spans="1:9" x14ac:dyDescent="0.6">
      <c r="A9" s="56">
        <v>8</v>
      </c>
      <c r="B9" s="56">
        <v>271040</v>
      </c>
      <c r="C9" s="57">
        <v>42350000</v>
      </c>
      <c r="D9" s="62">
        <v>0.20600000023841858</v>
      </c>
      <c r="E9" s="62">
        <v>0.20600000023841858</v>
      </c>
      <c r="F9" s="62">
        <v>0</v>
      </c>
      <c r="G9" s="63">
        <v>0.20600000023841858</v>
      </c>
      <c r="H9" s="61"/>
      <c r="I9" s="61"/>
    </row>
    <row r="10" spans="1:9" x14ac:dyDescent="0.6">
      <c r="A10" s="56">
        <v>9</v>
      </c>
      <c r="B10" s="56">
        <v>144412</v>
      </c>
      <c r="C10" s="57">
        <v>22564375</v>
      </c>
      <c r="D10" s="62">
        <v>0.10790000110864639</v>
      </c>
      <c r="E10" s="62">
        <v>0.10790000110864639</v>
      </c>
      <c r="F10" s="62">
        <v>0</v>
      </c>
      <c r="G10" s="63">
        <v>0.10790000110864639</v>
      </c>
      <c r="H10" s="61"/>
      <c r="I10" s="61"/>
    </row>
    <row r="11" spans="1:9" x14ac:dyDescent="0.6">
      <c r="A11" s="56">
        <v>10</v>
      </c>
      <c r="B11" s="56">
        <v>42233</v>
      </c>
      <c r="C11" s="57">
        <v>6598906.25</v>
      </c>
      <c r="D11" s="62">
        <v>2.9400000348687172E-2</v>
      </c>
      <c r="E11" s="62">
        <v>2.9400000348687172E-2</v>
      </c>
      <c r="F11" s="62">
        <v>0</v>
      </c>
      <c r="G11" s="63">
        <v>2.9400000348687172E-2</v>
      </c>
      <c r="H11" s="61"/>
      <c r="I11" s="61"/>
    </row>
    <row r="12" spans="1:9" x14ac:dyDescent="0.6">
      <c r="A12" s="56">
        <v>11</v>
      </c>
      <c r="B12" s="56">
        <v>745</v>
      </c>
      <c r="C12" s="57">
        <v>116406.25</v>
      </c>
      <c r="D12" s="62">
        <v>3.9999998989515007E-4</v>
      </c>
      <c r="E12" s="62">
        <v>3.9999998989515007E-4</v>
      </c>
      <c r="F12" s="62">
        <v>0</v>
      </c>
      <c r="G12" s="63">
        <v>3.9999998989515007E-4</v>
      </c>
      <c r="H12" s="61"/>
      <c r="I12" s="61"/>
    </row>
    <row r="13" spans="1:9" x14ac:dyDescent="0.6">
      <c r="A13" s="56">
        <v>12</v>
      </c>
      <c r="B13" s="56">
        <v>51663</v>
      </c>
      <c r="C13" s="57">
        <v>8072343.75</v>
      </c>
      <c r="D13" s="62">
        <v>2.8200000524520874E-2</v>
      </c>
      <c r="E13" s="62">
        <v>2.8200000524520874E-2</v>
      </c>
      <c r="F13" s="62">
        <v>0</v>
      </c>
      <c r="G13" s="63">
        <v>2.8200000524520874E-2</v>
      </c>
      <c r="H13" s="61"/>
      <c r="I13" s="61"/>
    </row>
    <row r="14" spans="1:9" x14ac:dyDescent="0.6">
      <c r="A14" s="56">
        <v>13</v>
      </c>
      <c r="B14" s="56">
        <v>70185</v>
      </c>
      <c r="C14" s="57">
        <v>10966406.25</v>
      </c>
      <c r="D14" s="62">
        <v>4.9100000411272049E-2</v>
      </c>
      <c r="E14" s="62">
        <v>4.9100000411272049E-2</v>
      </c>
      <c r="F14" s="62">
        <v>0</v>
      </c>
      <c r="G14" s="63">
        <v>4.9100000411272049E-2</v>
      </c>
      <c r="H14" s="61"/>
      <c r="I14" s="61"/>
    </row>
    <row r="15" spans="1:9" x14ac:dyDescent="0.6">
      <c r="A15" s="56">
        <v>14</v>
      </c>
      <c r="B15" s="56">
        <v>48959</v>
      </c>
      <c r="C15" s="57">
        <v>7649843.75</v>
      </c>
      <c r="D15" s="62">
        <v>3.4299999475479126E-2</v>
      </c>
      <c r="E15" s="62">
        <v>3.4299999475479126E-2</v>
      </c>
      <c r="F15" s="62">
        <v>0</v>
      </c>
      <c r="G15" s="63">
        <v>3.4299999475479126E-2</v>
      </c>
      <c r="H15" s="61"/>
      <c r="I15" s="61"/>
    </row>
    <row r="16" spans="1:9" x14ac:dyDescent="0.6">
      <c r="A16" s="56">
        <v>15</v>
      </c>
      <c r="B16" s="56">
        <v>136963</v>
      </c>
      <c r="C16" s="57">
        <v>21400468.75</v>
      </c>
      <c r="D16" s="62">
        <v>0.10300000011920929</v>
      </c>
      <c r="E16" s="62">
        <v>0.10300000011920929</v>
      </c>
      <c r="F16" s="62">
        <v>0</v>
      </c>
      <c r="G16" s="63">
        <v>0.10300000011920929</v>
      </c>
      <c r="H16" s="61"/>
      <c r="I16" s="61"/>
    </row>
    <row r="17" spans="1:11" x14ac:dyDescent="0.6">
      <c r="A17" s="56">
        <v>16</v>
      </c>
      <c r="B17" s="56">
        <v>24262</v>
      </c>
      <c r="C17" s="57">
        <v>3790937.5</v>
      </c>
      <c r="D17" s="62">
        <v>1.4700000174343586E-2</v>
      </c>
      <c r="E17" s="62">
        <v>1.4700000174343586E-2</v>
      </c>
      <c r="F17" s="62">
        <v>0</v>
      </c>
      <c r="G17" s="63">
        <v>1.4700000174343586E-2</v>
      </c>
      <c r="H17" s="61"/>
      <c r="I17" s="61"/>
    </row>
    <row r="18" spans="1:11" x14ac:dyDescent="0.6">
      <c r="A18" s="56">
        <v>17</v>
      </c>
      <c r="B18" s="56">
        <v>93435</v>
      </c>
      <c r="C18" s="57">
        <v>14599218.75</v>
      </c>
      <c r="D18" s="62">
        <v>6.8700000643730164E-2</v>
      </c>
      <c r="E18" s="62">
        <v>6.8700000643730164E-2</v>
      </c>
      <c r="F18" s="62">
        <v>0</v>
      </c>
      <c r="G18" s="63">
        <v>6.8700000643730164E-2</v>
      </c>
      <c r="H18" s="61"/>
      <c r="I18" s="61"/>
    </row>
    <row r="19" spans="1:11" x14ac:dyDescent="0.6">
      <c r="A19" s="56">
        <v>18</v>
      </c>
      <c r="B19" s="56">
        <v>83330</v>
      </c>
      <c r="C19" s="57">
        <v>13020312.5</v>
      </c>
      <c r="D19" s="62">
        <v>6.379999965429306E-2</v>
      </c>
      <c r="E19" s="62">
        <v>6.379999965429306E-2</v>
      </c>
      <c r="F19" s="62">
        <v>0</v>
      </c>
      <c r="G19" s="63">
        <v>6.379999965429306E-2</v>
      </c>
      <c r="H19" s="61"/>
      <c r="I19" s="61"/>
    </row>
    <row r="20" spans="1:11" x14ac:dyDescent="0.6">
      <c r="A20" s="56">
        <v>19</v>
      </c>
      <c r="B20" s="56">
        <v>108151</v>
      </c>
      <c r="C20" s="57">
        <v>16898593.75</v>
      </c>
      <c r="D20" s="62">
        <v>7.850000262260437E-2</v>
      </c>
      <c r="E20" s="62">
        <v>7.850000262260437E-2</v>
      </c>
      <c r="F20" s="62">
        <v>0</v>
      </c>
      <c r="G20" s="63">
        <v>7.850000262260437E-2</v>
      </c>
      <c r="H20" s="61"/>
      <c r="I20" s="61"/>
    </row>
    <row r="21" spans="1:11" x14ac:dyDescent="0.6">
      <c r="A21" s="56">
        <v>20</v>
      </c>
      <c r="B21" s="56">
        <v>53310</v>
      </c>
      <c r="C21" s="57">
        <v>8329687.5</v>
      </c>
      <c r="D21" s="62">
        <v>3.9200000464916229E-2</v>
      </c>
      <c r="E21" s="62">
        <v>3.9200000464916229E-2</v>
      </c>
      <c r="F21" s="62">
        <v>0</v>
      </c>
      <c r="G21" s="63">
        <v>3.9200000464916229E-2</v>
      </c>
      <c r="H21" s="61"/>
      <c r="I21" s="61"/>
    </row>
    <row r="22" spans="1:11" x14ac:dyDescent="0.6">
      <c r="A22" s="56">
        <v>21</v>
      </c>
      <c r="B22" s="56">
        <v>147559</v>
      </c>
      <c r="C22" s="57">
        <v>23056093.75</v>
      </c>
      <c r="D22" s="62">
        <v>0.1128000020980835</v>
      </c>
      <c r="E22" s="62">
        <v>0.1128000020980835</v>
      </c>
      <c r="F22" s="62">
        <v>0</v>
      </c>
      <c r="G22" s="63">
        <v>0.1128000020980835</v>
      </c>
      <c r="H22" s="61"/>
      <c r="I22" s="61"/>
    </row>
    <row r="23" spans="1:11" x14ac:dyDescent="0.6">
      <c r="A23" s="56">
        <v>22</v>
      </c>
      <c r="B23" s="56">
        <v>128677</v>
      </c>
      <c r="C23" s="57">
        <v>20105781.25</v>
      </c>
      <c r="D23" s="62">
        <v>9.8099999129772186E-2</v>
      </c>
      <c r="E23" s="62">
        <v>9.8099999129772186E-2</v>
      </c>
      <c r="F23" s="62">
        <v>0</v>
      </c>
      <c r="G23" s="63">
        <v>9.8099999129772186E-2</v>
      </c>
      <c r="H23" s="61"/>
      <c r="I23" s="61"/>
    </row>
    <row r="24" spans="1:11" x14ac:dyDescent="0.6">
      <c r="A24" s="56">
        <v>23</v>
      </c>
      <c r="B24" s="56">
        <v>222064</v>
      </c>
      <c r="C24" s="57">
        <v>34697500</v>
      </c>
      <c r="D24" s="62">
        <v>0.16680000722408295</v>
      </c>
      <c r="E24" s="62">
        <v>0.16680000722408295</v>
      </c>
      <c r="F24" s="62">
        <v>0</v>
      </c>
      <c r="G24" s="63">
        <v>0.16680000722408295</v>
      </c>
      <c r="H24" s="61"/>
      <c r="I24" s="61"/>
    </row>
    <row r="25" spans="1:11" x14ac:dyDescent="0.6">
      <c r="A25" s="56">
        <v>24</v>
      </c>
      <c r="B25" s="56">
        <v>258727</v>
      </c>
      <c r="C25" s="57">
        <v>40426093.75</v>
      </c>
      <c r="D25" s="62">
        <v>0.19619999825954437</v>
      </c>
      <c r="E25" s="62">
        <v>0.19619999825954437</v>
      </c>
      <c r="F25" s="62">
        <v>0</v>
      </c>
      <c r="G25" s="63">
        <v>0.19619999825954437</v>
      </c>
      <c r="H25" s="61"/>
      <c r="I25" s="61"/>
    </row>
    <row r="26" spans="1:11" x14ac:dyDescent="0.6">
      <c r="A26" s="56">
        <v>25</v>
      </c>
      <c r="B26" s="56">
        <v>503074</v>
      </c>
      <c r="C26" s="57">
        <v>78605312.5</v>
      </c>
      <c r="D26" s="62">
        <v>0.38260000944137573</v>
      </c>
      <c r="E26" s="62">
        <v>0.38260000944137573</v>
      </c>
      <c r="F26" s="62">
        <v>0</v>
      </c>
      <c r="G26" s="63">
        <v>0.38260000944137573</v>
      </c>
      <c r="H26" s="61"/>
      <c r="I26" s="61"/>
    </row>
    <row r="31" spans="1:11" x14ac:dyDescent="0.6">
      <c r="G31" s="17" t="s">
        <v>16</v>
      </c>
      <c r="H31" s="1" t="s">
        <v>8</v>
      </c>
      <c r="I31" s="1" t="s">
        <v>2</v>
      </c>
      <c r="J31" s="1" t="s">
        <v>17</v>
      </c>
      <c r="K31" s="4" t="s">
        <v>10</v>
      </c>
    </row>
    <row r="32" spans="1:11" x14ac:dyDescent="0.6">
      <c r="G32" s="17" t="s">
        <v>18</v>
      </c>
      <c r="H32" s="2">
        <v>1</v>
      </c>
      <c r="I32" s="2">
        <v>371162</v>
      </c>
      <c r="J32" s="3">
        <v>57994062.5</v>
      </c>
      <c r="K32">
        <f>J32/10000</f>
        <v>5799.40625</v>
      </c>
    </row>
    <row r="33" spans="7:11" x14ac:dyDescent="0.6">
      <c r="G33" s="17" t="s">
        <v>19</v>
      </c>
      <c r="H33" s="2">
        <v>2</v>
      </c>
      <c r="I33" s="2">
        <v>453137</v>
      </c>
      <c r="J33" s="3">
        <v>70802656.25</v>
      </c>
      <c r="K33">
        <f>J33/10000</f>
        <v>7080.265625</v>
      </c>
    </row>
    <row r="34" spans="7:11" x14ac:dyDescent="0.6">
      <c r="G34" s="17" t="s">
        <v>20</v>
      </c>
      <c r="H34" s="2">
        <v>3</v>
      </c>
      <c r="I34" s="2">
        <v>903680</v>
      </c>
      <c r="J34" s="3">
        <v>141200000</v>
      </c>
      <c r="K34">
        <f>J34/10000</f>
        <v>14120</v>
      </c>
    </row>
    <row r="35" spans="7:11" x14ac:dyDescent="0.6">
      <c r="G35" s="17" t="s">
        <v>21</v>
      </c>
      <c r="H35" s="2">
        <v>4</v>
      </c>
      <c r="I35" s="2">
        <v>667679</v>
      </c>
      <c r="J35" s="3">
        <v>104324843.75</v>
      </c>
      <c r="K35">
        <f>J35/10000</f>
        <v>10432.484375</v>
      </c>
    </row>
    <row r="36" spans="7:11" x14ac:dyDescent="0.6">
      <c r="G36" s="17" t="s">
        <v>22</v>
      </c>
      <c r="H36" s="2">
        <v>5</v>
      </c>
      <c r="I36" s="2">
        <v>1313674</v>
      </c>
      <c r="J36" s="3">
        <v>205261562.5</v>
      </c>
      <c r="K36">
        <f>J36/10000</f>
        <v>20526.15625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35"/>
  <sheetViews>
    <sheetView topLeftCell="B1" zoomScale="82" zoomScaleNormal="82" workbookViewId="0">
      <pane ySplit="1" topLeftCell="A2" activePane="bottomLeft" state="frozen"/>
      <selection pane="bottomLeft" activeCell="H2" sqref="H2:H26"/>
    </sheetView>
  </sheetViews>
  <sheetFormatPr defaultRowHeight="13" x14ac:dyDescent="0.6"/>
  <cols>
    <col min="1" max="14" width="16" customWidth="1"/>
  </cols>
  <sheetData>
    <row r="1" spans="1:14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</row>
    <row r="2" spans="1:14" x14ac:dyDescent="0.6">
      <c r="A2" s="2">
        <v>1</v>
      </c>
      <c r="B2" s="56">
        <v>1</v>
      </c>
      <c r="C2" s="56">
        <v>66296</v>
      </c>
      <c r="D2" s="57">
        <v>10358750</v>
      </c>
      <c r="E2" s="56">
        <v>43</v>
      </c>
      <c r="F2" s="56">
        <v>57</v>
      </c>
      <c r="G2" s="56">
        <v>14</v>
      </c>
      <c r="H2" s="59">
        <v>48.190373476529501</v>
      </c>
      <c r="I2" s="3"/>
      <c r="J2" s="3"/>
      <c r="K2" s="2"/>
      <c r="L2" s="2"/>
      <c r="M2" s="2"/>
      <c r="N2" s="2"/>
    </row>
    <row r="3" spans="1:14" x14ac:dyDescent="0.6">
      <c r="A3" s="2">
        <v>2</v>
      </c>
      <c r="B3" s="56">
        <v>2</v>
      </c>
      <c r="C3" s="56">
        <v>149361</v>
      </c>
      <c r="D3" s="57">
        <v>23337656.25</v>
      </c>
      <c r="E3" s="56">
        <v>43</v>
      </c>
      <c r="F3" s="56">
        <v>57</v>
      </c>
      <c r="G3" s="56">
        <v>14</v>
      </c>
      <c r="H3" s="59">
        <v>48.237525190645485</v>
      </c>
      <c r="I3" s="3"/>
      <c r="J3" s="3"/>
      <c r="K3" s="2"/>
      <c r="L3" s="2"/>
      <c r="M3" s="2"/>
      <c r="N3" s="2"/>
    </row>
    <row r="4" spans="1:14" x14ac:dyDescent="0.6">
      <c r="A4" s="2">
        <v>3</v>
      </c>
      <c r="B4" s="56">
        <v>3</v>
      </c>
      <c r="C4" s="56">
        <v>75586</v>
      </c>
      <c r="D4" s="57">
        <v>11810312.5</v>
      </c>
      <c r="E4" s="56">
        <v>45</v>
      </c>
      <c r="F4" s="56">
        <v>56</v>
      </c>
      <c r="G4" s="56">
        <v>11</v>
      </c>
      <c r="H4" s="59">
        <v>48.221760643505412</v>
      </c>
      <c r="I4" s="3"/>
      <c r="J4" s="3"/>
      <c r="K4" s="2"/>
      <c r="L4" s="2"/>
      <c r="M4" s="2"/>
      <c r="N4" s="2"/>
    </row>
    <row r="5" spans="1:14" x14ac:dyDescent="0.6">
      <c r="A5" s="2">
        <v>4</v>
      </c>
      <c r="B5" s="56">
        <v>4</v>
      </c>
      <c r="C5" s="56">
        <v>407214</v>
      </c>
      <c r="D5" s="57">
        <v>63627187.5</v>
      </c>
      <c r="E5" s="56">
        <v>35</v>
      </c>
      <c r="F5" s="56">
        <v>61</v>
      </c>
      <c r="G5" s="56">
        <v>26</v>
      </c>
      <c r="H5" s="59">
        <v>48.355412633160945</v>
      </c>
      <c r="I5" s="3"/>
      <c r="J5" s="3"/>
      <c r="K5" s="2"/>
      <c r="L5" s="2"/>
      <c r="M5" s="2"/>
      <c r="N5" s="2"/>
    </row>
    <row r="6" spans="1:14" x14ac:dyDescent="0.6">
      <c r="A6" s="2">
        <v>5</v>
      </c>
      <c r="B6" s="56">
        <v>5</v>
      </c>
      <c r="C6" s="56">
        <v>181833</v>
      </c>
      <c r="D6" s="57">
        <v>28411406.25</v>
      </c>
      <c r="E6" s="56">
        <v>36</v>
      </c>
      <c r="F6" s="56">
        <v>57</v>
      </c>
      <c r="G6" s="56">
        <v>21</v>
      </c>
      <c r="H6" s="59">
        <v>48.535639845352605</v>
      </c>
      <c r="I6" s="3"/>
      <c r="J6" s="3"/>
      <c r="K6" s="2"/>
      <c r="L6" s="2"/>
      <c r="M6" s="2"/>
      <c r="N6" s="2"/>
    </row>
    <row r="7" spans="1:14" x14ac:dyDescent="0.6">
      <c r="A7" s="2">
        <v>6</v>
      </c>
      <c r="B7" s="56">
        <v>6</v>
      </c>
      <c r="C7" s="56">
        <v>91483</v>
      </c>
      <c r="D7" s="57">
        <v>14294218.75</v>
      </c>
      <c r="E7" s="56">
        <v>37</v>
      </c>
      <c r="F7" s="56">
        <v>58</v>
      </c>
      <c r="G7" s="56">
        <v>21</v>
      </c>
      <c r="H7" s="59">
        <v>48.033886077194673</v>
      </c>
      <c r="I7" s="3"/>
      <c r="J7" s="3"/>
      <c r="K7" s="2"/>
      <c r="L7" s="2"/>
      <c r="M7" s="2"/>
      <c r="N7" s="2"/>
    </row>
    <row r="8" spans="1:14" x14ac:dyDescent="0.6">
      <c r="A8" s="2">
        <v>7</v>
      </c>
      <c r="B8" s="56">
        <v>7</v>
      </c>
      <c r="C8" s="56">
        <v>148305</v>
      </c>
      <c r="D8" s="57">
        <v>23172656.25</v>
      </c>
      <c r="E8" s="56">
        <v>43</v>
      </c>
      <c r="F8" s="56">
        <v>60</v>
      </c>
      <c r="G8" s="56">
        <v>17</v>
      </c>
      <c r="H8" s="59">
        <v>48.386123192070393</v>
      </c>
      <c r="I8" s="3"/>
      <c r="J8" s="3"/>
      <c r="K8" s="2"/>
      <c r="L8" s="2"/>
      <c r="M8" s="2"/>
      <c r="N8" s="2"/>
    </row>
    <row r="9" spans="1:14" x14ac:dyDescent="0.6">
      <c r="A9" s="2">
        <v>8</v>
      </c>
      <c r="B9" s="56">
        <v>8</v>
      </c>
      <c r="C9" s="56">
        <v>270429</v>
      </c>
      <c r="D9" s="57">
        <v>42254531.25</v>
      </c>
      <c r="E9" s="56">
        <v>37</v>
      </c>
      <c r="F9" s="56">
        <v>59</v>
      </c>
      <c r="G9" s="56">
        <v>22</v>
      </c>
      <c r="H9" s="59">
        <v>48.122753107100202</v>
      </c>
      <c r="I9" s="3"/>
      <c r="J9" s="3"/>
      <c r="K9" s="2"/>
      <c r="L9" s="2"/>
      <c r="M9" s="2"/>
      <c r="N9" s="2"/>
    </row>
    <row r="10" spans="1:14" x14ac:dyDescent="0.6">
      <c r="A10" s="2">
        <v>9</v>
      </c>
      <c r="B10" s="56">
        <v>9</v>
      </c>
      <c r="C10" s="56">
        <v>141231</v>
      </c>
      <c r="D10" s="57">
        <v>22067343.75</v>
      </c>
      <c r="E10" s="56">
        <v>38</v>
      </c>
      <c r="F10" s="56">
        <v>57</v>
      </c>
      <c r="G10" s="56">
        <v>19</v>
      </c>
      <c r="H10" s="59">
        <v>47.678158477954554</v>
      </c>
      <c r="I10" s="3"/>
      <c r="J10" s="3"/>
      <c r="K10" s="2"/>
      <c r="L10" s="2"/>
      <c r="M10" s="2"/>
      <c r="N10" s="2"/>
    </row>
    <row r="11" spans="1:14" x14ac:dyDescent="0.6">
      <c r="A11" s="2">
        <v>10</v>
      </c>
      <c r="B11" s="56">
        <v>10</v>
      </c>
      <c r="C11" s="56">
        <v>42175</v>
      </c>
      <c r="D11" s="57">
        <v>6589843.75</v>
      </c>
      <c r="E11" s="56">
        <v>43</v>
      </c>
      <c r="F11" s="56">
        <v>56</v>
      </c>
      <c r="G11" s="56">
        <v>13</v>
      </c>
      <c r="H11" s="59">
        <v>47.989282750444573</v>
      </c>
      <c r="I11" s="3"/>
      <c r="J11" s="3"/>
      <c r="K11" s="2"/>
      <c r="L11" s="2"/>
      <c r="M11" s="2"/>
      <c r="N11" s="2"/>
    </row>
    <row r="12" spans="1:14" x14ac:dyDescent="0.6">
      <c r="A12" s="2">
        <v>11</v>
      </c>
      <c r="B12" s="56">
        <v>11</v>
      </c>
      <c r="C12" s="56">
        <v>745</v>
      </c>
      <c r="D12" s="57">
        <v>116406.25</v>
      </c>
      <c r="E12" s="56">
        <v>47</v>
      </c>
      <c r="F12" s="56">
        <v>50</v>
      </c>
      <c r="G12" s="56">
        <v>3</v>
      </c>
      <c r="H12" s="59">
        <v>47.436241610738257</v>
      </c>
      <c r="I12" s="3"/>
      <c r="J12" s="3"/>
      <c r="K12" s="2"/>
      <c r="L12" s="2"/>
      <c r="M12" s="2"/>
      <c r="N12" s="2"/>
    </row>
    <row r="13" spans="1:14" x14ac:dyDescent="0.6">
      <c r="A13" s="2">
        <v>12</v>
      </c>
      <c r="B13" s="56">
        <v>12</v>
      </c>
      <c r="C13" s="56">
        <v>51635</v>
      </c>
      <c r="D13" s="57">
        <v>8067968.75</v>
      </c>
      <c r="E13" s="56">
        <v>43</v>
      </c>
      <c r="F13" s="56">
        <v>57</v>
      </c>
      <c r="G13" s="56">
        <v>14</v>
      </c>
      <c r="H13" s="59">
        <v>48.120557761208481</v>
      </c>
      <c r="I13" s="3"/>
      <c r="J13" s="3"/>
      <c r="K13" s="2"/>
      <c r="L13" s="2"/>
      <c r="M13" s="2"/>
      <c r="N13" s="2"/>
    </row>
    <row r="14" spans="1:14" x14ac:dyDescent="0.6">
      <c r="A14" s="2">
        <v>13</v>
      </c>
      <c r="B14" s="56">
        <v>13</v>
      </c>
      <c r="C14" s="56">
        <v>69893</v>
      </c>
      <c r="D14" s="57">
        <v>10920781.25</v>
      </c>
      <c r="E14" s="56">
        <v>43</v>
      </c>
      <c r="F14" s="56">
        <v>56</v>
      </c>
      <c r="G14" s="56">
        <v>13</v>
      </c>
      <c r="H14" s="59">
        <v>47.941925514715351</v>
      </c>
      <c r="I14" s="3"/>
      <c r="J14" s="3"/>
      <c r="K14" s="2"/>
      <c r="L14" s="2"/>
      <c r="M14" s="2"/>
      <c r="N14" s="2"/>
    </row>
    <row r="15" spans="1:14" x14ac:dyDescent="0.6">
      <c r="A15" s="2">
        <v>14</v>
      </c>
      <c r="B15" s="56">
        <v>14</v>
      </c>
      <c r="C15" s="56">
        <v>48846</v>
      </c>
      <c r="D15" s="57">
        <v>7632187.5</v>
      </c>
      <c r="E15" s="56">
        <v>36</v>
      </c>
      <c r="F15" s="56">
        <v>54</v>
      </c>
      <c r="G15" s="56">
        <v>18</v>
      </c>
      <c r="H15" s="59">
        <v>47.219936125783072</v>
      </c>
      <c r="I15" s="3"/>
      <c r="J15" s="3"/>
      <c r="K15" s="2"/>
      <c r="L15" s="2"/>
      <c r="M15" s="2"/>
      <c r="N15" s="2"/>
    </row>
    <row r="16" spans="1:14" x14ac:dyDescent="0.6">
      <c r="A16" s="2">
        <v>15</v>
      </c>
      <c r="B16" s="56">
        <v>15</v>
      </c>
      <c r="C16" s="56">
        <v>134074</v>
      </c>
      <c r="D16" s="57">
        <v>20949062.5</v>
      </c>
      <c r="E16" s="56">
        <v>41</v>
      </c>
      <c r="F16" s="56">
        <v>59</v>
      </c>
      <c r="G16" s="56">
        <v>18</v>
      </c>
      <c r="H16" s="59">
        <v>48.262578874352968</v>
      </c>
      <c r="I16" s="3"/>
      <c r="J16" s="3"/>
      <c r="K16" s="2"/>
      <c r="L16" s="2"/>
      <c r="M16" s="2"/>
      <c r="N16" s="2"/>
    </row>
    <row r="17" spans="1:14" x14ac:dyDescent="0.6">
      <c r="A17" s="2">
        <v>16</v>
      </c>
      <c r="B17" s="56">
        <v>16</v>
      </c>
      <c r="C17" s="56">
        <v>24262</v>
      </c>
      <c r="D17" s="57">
        <v>3790937.5</v>
      </c>
      <c r="E17" s="56">
        <v>42</v>
      </c>
      <c r="F17" s="56">
        <v>53</v>
      </c>
      <c r="G17" s="56">
        <v>11</v>
      </c>
      <c r="H17" s="59">
        <v>47.627442090511913</v>
      </c>
      <c r="I17" s="3"/>
      <c r="J17" s="3"/>
      <c r="K17" s="2"/>
      <c r="L17" s="2"/>
      <c r="M17" s="2"/>
      <c r="N17" s="2"/>
    </row>
    <row r="18" spans="1:14" x14ac:dyDescent="0.6">
      <c r="A18" s="2">
        <v>17</v>
      </c>
      <c r="B18" s="56">
        <v>17</v>
      </c>
      <c r="C18" s="56">
        <v>89069</v>
      </c>
      <c r="D18" s="57">
        <v>13917031.25</v>
      </c>
      <c r="E18" s="56">
        <v>42</v>
      </c>
      <c r="F18" s="56">
        <v>58</v>
      </c>
      <c r="G18" s="56">
        <v>16</v>
      </c>
      <c r="H18" s="59">
        <v>48.809978780496017</v>
      </c>
      <c r="I18" s="3"/>
      <c r="J18" s="3"/>
      <c r="K18" s="2"/>
      <c r="L18" s="2"/>
      <c r="M18" s="2"/>
      <c r="N18" s="2"/>
    </row>
    <row r="19" spans="1:14" x14ac:dyDescent="0.6">
      <c r="A19" s="2">
        <v>18</v>
      </c>
      <c r="B19" s="56">
        <v>18</v>
      </c>
      <c r="C19" s="56">
        <v>82825</v>
      </c>
      <c r="D19" s="57">
        <v>12941406.25</v>
      </c>
      <c r="E19" s="56">
        <v>43</v>
      </c>
      <c r="F19" s="56">
        <v>58</v>
      </c>
      <c r="G19" s="56">
        <v>15</v>
      </c>
      <c r="H19" s="59">
        <v>48.100030184123149</v>
      </c>
      <c r="I19" s="3"/>
      <c r="J19" s="3"/>
      <c r="K19" s="2"/>
      <c r="L19" s="2"/>
      <c r="M19" s="2"/>
      <c r="N19" s="2"/>
    </row>
    <row r="20" spans="1:14" x14ac:dyDescent="0.6">
      <c r="A20" s="2">
        <v>19</v>
      </c>
      <c r="B20" s="56">
        <v>19</v>
      </c>
      <c r="C20" s="56">
        <v>108141</v>
      </c>
      <c r="D20" s="57">
        <v>16897031.25</v>
      </c>
      <c r="E20" s="56">
        <v>37</v>
      </c>
      <c r="F20" s="56">
        <v>59</v>
      </c>
      <c r="G20" s="56">
        <v>22</v>
      </c>
      <c r="H20" s="59">
        <v>48.143608807020463</v>
      </c>
      <c r="I20" s="3"/>
      <c r="J20" s="3"/>
      <c r="K20" s="2"/>
      <c r="L20" s="2"/>
      <c r="M20" s="2"/>
      <c r="N20" s="2"/>
    </row>
    <row r="21" spans="1:14" x14ac:dyDescent="0.6">
      <c r="A21" s="2">
        <v>20</v>
      </c>
      <c r="B21" s="56">
        <v>20</v>
      </c>
      <c r="C21" s="56">
        <v>53310</v>
      </c>
      <c r="D21" s="57">
        <v>8329687.5</v>
      </c>
      <c r="E21" s="56">
        <v>42</v>
      </c>
      <c r="F21" s="56">
        <v>59</v>
      </c>
      <c r="G21" s="56">
        <v>17</v>
      </c>
      <c r="H21" s="59">
        <v>48.422566122678674</v>
      </c>
      <c r="I21" s="3"/>
      <c r="J21" s="3"/>
      <c r="K21" s="2"/>
      <c r="L21" s="2"/>
      <c r="M21" s="2"/>
      <c r="N21" s="2"/>
    </row>
    <row r="22" spans="1:14" x14ac:dyDescent="0.6">
      <c r="A22" s="2">
        <v>21</v>
      </c>
      <c r="B22" s="56">
        <v>21</v>
      </c>
      <c r="C22" s="56">
        <v>147250</v>
      </c>
      <c r="D22" s="57">
        <v>23007812.5</v>
      </c>
      <c r="E22" s="56">
        <v>43</v>
      </c>
      <c r="F22" s="56">
        <v>59</v>
      </c>
      <c r="G22" s="56">
        <v>16</v>
      </c>
      <c r="H22" s="59">
        <v>48.354417657045843</v>
      </c>
      <c r="I22" s="3"/>
      <c r="J22" s="3"/>
      <c r="K22" s="2"/>
      <c r="L22" s="2"/>
      <c r="M22" s="2"/>
      <c r="N22" s="2"/>
    </row>
    <row r="23" spans="1:14" x14ac:dyDescent="0.6">
      <c r="A23" s="2">
        <v>22</v>
      </c>
      <c r="B23" s="56">
        <v>22</v>
      </c>
      <c r="C23" s="56">
        <v>126167</v>
      </c>
      <c r="D23" s="57">
        <v>19713593.75</v>
      </c>
      <c r="E23" s="56">
        <v>41</v>
      </c>
      <c r="F23" s="56">
        <v>60</v>
      </c>
      <c r="G23" s="56">
        <v>19</v>
      </c>
      <c r="H23" s="59">
        <v>48.228015249629458</v>
      </c>
      <c r="I23" s="3"/>
      <c r="J23" s="3"/>
      <c r="K23" s="2"/>
      <c r="L23" s="2"/>
      <c r="M23" s="2"/>
      <c r="N23" s="2"/>
    </row>
    <row r="24" spans="1:14" x14ac:dyDescent="0.6">
      <c r="A24" s="2">
        <v>23</v>
      </c>
      <c r="B24" s="56">
        <v>23</v>
      </c>
      <c r="C24" s="56">
        <v>212941</v>
      </c>
      <c r="D24" s="57">
        <v>33272031.25</v>
      </c>
      <c r="E24" s="56">
        <v>40</v>
      </c>
      <c r="F24" s="56">
        <v>61</v>
      </c>
      <c r="G24" s="56">
        <v>21</v>
      </c>
      <c r="H24" s="59">
        <v>49.234017873495475</v>
      </c>
      <c r="I24" s="3"/>
      <c r="J24" s="3"/>
      <c r="K24" s="2"/>
      <c r="L24" s="2"/>
      <c r="M24" s="2"/>
      <c r="N24" s="2"/>
    </row>
    <row r="25" spans="1:14" x14ac:dyDescent="0.6">
      <c r="A25" s="2">
        <v>24</v>
      </c>
      <c r="B25" s="56">
        <v>24</v>
      </c>
      <c r="C25" s="56">
        <v>254605</v>
      </c>
      <c r="D25" s="57">
        <v>39782031.25</v>
      </c>
      <c r="E25" s="56">
        <v>41</v>
      </c>
      <c r="F25" s="56">
        <v>56</v>
      </c>
      <c r="G25" s="56">
        <v>15</v>
      </c>
      <c r="H25" s="59">
        <v>47.939007482178276</v>
      </c>
      <c r="I25" s="3"/>
      <c r="J25" s="3"/>
      <c r="K25" s="2"/>
      <c r="L25" s="2"/>
      <c r="M25" s="2"/>
      <c r="N25" s="2"/>
    </row>
    <row r="26" spans="1:14" x14ac:dyDescent="0.6">
      <c r="A26" s="2">
        <v>25</v>
      </c>
      <c r="B26" s="56">
        <v>25</v>
      </c>
      <c r="C26" s="56">
        <v>491929</v>
      </c>
      <c r="D26" s="57">
        <v>76863906.25</v>
      </c>
      <c r="E26" s="56">
        <v>37</v>
      </c>
      <c r="F26" s="56">
        <v>61</v>
      </c>
      <c r="G26" s="56">
        <v>24</v>
      </c>
      <c r="H26" s="59">
        <v>48.815040381843723</v>
      </c>
      <c r="I26" s="3"/>
      <c r="J26" s="3"/>
      <c r="K26" s="2"/>
      <c r="L26" s="2"/>
      <c r="M26" s="2"/>
      <c r="N26" s="2"/>
    </row>
    <row r="30" spans="1:14" x14ac:dyDescent="0.6">
      <c r="H30" s="6" t="s">
        <v>23</v>
      </c>
      <c r="I30" s="1" t="s">
        <v>2</v>
      </c>
      <c r="J30" s="1" t="s">
        <v>24</v>
      </c>
      <c r="K30" s="1" t="s">
        <v>25</v>
      </c>
    </row>
    <row r="31" spans="1:14" x14ac:dyDescent="0.6">
      <c r="H31" s="7">
        <v>0</v>
      </c>
      <c r="I31">
        <v>0</v>
      </c>
      <c r="J31">
        <v>0</v>
      </c>
      <c r="K31">
        <v>0</v>
      </c>
    </row>
    <row r="32" spans="1:14" x14ac:dyDescent="0.6">
      <c r="H32" s="6" t="s">
        <v>26</v>
      </c>
      <c r="I32" s="2">
        <v>1172562</v>
      </c>
      <c r="J32" s="3">
        <v>183212812.5</v>
      </c>
      <c r="K32" s="3">
        <v>18321.28125</v>
      </c>
    </row>
    <row r="33" spans="8:11" x14ac:dyDescent="0.6">
      <c r="H33" s="6" t="s">
        <v>27</v>
      </c>
      <c r="I33" s="2">
        <v>1673035</v>
      </c>
      <c r="J33" s="3">
        <v>261411718.75</v>
      </c>
      <c r="K33" s="3">
        <v>26141.171875</v>
      </c>
    </row>
    <row r="34" spans="8:11" x14ac:dyDescent="0.6">
      <c r="H34" s="6" t="s">
        <v>28</v>
      </c>
      <c r="I34" s="2">
        <v>526465</v>
      </c>
      <c r="J34" s="3">
        <v>82260156.25</v>
      </c>
      <c r="K34" s="3">
        <v>8226.015625</v>
      </c>
    </row>
    <row r="35" spans="8:11" x14ac:dyDescent="0.6">
      <c r="H35" s="6" t="s">
        <v>29</v>
      </c>
      <c r="I35" s="2">
        <v>98765</v>
      </c>
      <c r="J35" s="3">
        <v>15432031.25</v>
      </c>
      <c r="K35" s="3">
        <v>1543.203125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42"/>
  <sheetViews>
    <sheetView zoomScale="70" zoomScaleNormal="70" workbookViewId="0">
      <pane ySplit="1" topLeftCell="A2" activePane="bottomLeft" state="frozen"/>
      <selection pane="bottomLeft" activeCell="H2" sqref="H2:H26"/>
    </sheetView>
  </sheetViews>
  <sheetFormatPr defaultRowHeight="13" x14ac:dyDescent="0.6"/>
  <cols>
    <col min="1" max="7" width="16" customWidth="1"/>
    <col min="8" max="8" width="35.1328125" customWidth="1"/>
    <col min="9" max="9" width="19.7265625" customWidth="1"/>
    <col min="10" max="10" width="21.86328125" customWidth="1"/>
    <col min="11" max="11" width="16" customWidth="1"/>
    <col min="12" max="12" width="10.86328125" customWidth="1"/>
    <col min="13" max="13" width="10.7265625" customWidth="1"/>
    <col min="14" max="14" width="8.1328125" bestFit="1" customWidth="1"/>
    <col min="15" max="15" width="61.1328125" bestFit="1" customWidth="1"/>
    <col min="16" max="16" width="17.26953125" customWidth="1"/>
    <col min="17" max="17" width="16.7265625" customWidth="1"/>
    <col min="18" max="18" width="12.54296875" customWidth="1"/>
  </cols>
  <sheetData>
    <row r="1" spans="1:14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</row>
    <row r="2" spans="1:14" x14ac:dyDescent="0.6">
      <c r="A2" s="2">
        <v>1</v>
      </c>
      <c r="B2" s="2">
        <v>1</v>
      </c>
      <c r="C2" s="2">
        <v>67440</v>
      </c>
      <c r="D2" s="3">
        <v>10537500</v>
      </c>
      <c r="E2" s="2">
        <v>3</v>
      </c>
      <c r="F2" s="2">
        <v>9</v>
      </c>
      <c r="G2" s="2">
        <v>6</v>
      </c>
      <c r="H2" s="59">
        <v>3.6365658362989324</v>
      </c>
      <c r="I2" s="3"/>
      <c r="J2" s="3"/>
      <c r="K2" s="2"/>
      <c r="L2" s="2"/>
      <c r="M2" s="2"/>
      <c r="N2" s="2"/>
    </row>
    <row r="3" spans="1:14" x14ac:dyDescent="0.6">
      <c r="A3" s="2">
        <v>2</v>
      </c>
      <c r="B3" s="2">
        <v>2</v>
      </c>
      <c r="C3" s="2">
        <v>159193</v>
      </c>
      <c r="D3" s="3">
        <v>24873906.25</v>
      </c>
      <c r="E3" s="2">
        <v>0</v>
      </c>
      <c r="F3" s="2">
        <v>9</v>
      </c>
      <c r="G3" s="2">
        <v>9</v>
      </c>
      <c r="H3" s="59">
        <v>3.5541009969031303</v>
      </c>
      <c r="I3" s="3"/>
      <c r="J3" s="3"/>
      <c r="K3" s="2"/>
      <c r="L3" s="2"/>
      <c r="M3" s="2"/>
      <c r="N3" s="2"/>
    </row>
    <row r="4" spans="1:14" x14ac:dyDescent="0.6">
      <c r="A4" s="2">
        <v>3</v>
      </c>
      <c r="B4" s="2">
        <v>3</v>
      </c>
      <c r="C4" s="2">
        <v>76280</v>
      </c>
      <c r="D4" s="3">
        <v>11918750</v>
      </c>
      <c r="E4" s="2">
        <v>0</v>
      </c>
      <c r="F4" s="2">
        <v>9</v>
      </c>
      <c r="G4" s="2">
        <v>9</v>
      </c>
      <c r="H4" s="59">
        <v>3.4015731515469323</v>
      </c>
      <c r="I4" s="3"/>
      <c r="J4" s="3"/>
      <c r="K4" s="2"/>
      <c r="L4" s="2"/>
      <c r="M4" s="2"/>
      <c r="N4" s="2"/>
    </row>
    <row r="5" spans="1:14" x14ac:dyDescent="0.6">
      <c r="A5" s="2">
        <v>4</v>
      </c>
      <c r="B5" s="2">
        <v>4</v>
      </c>
      <c r="C5" s="2">
        <v>532454</v>
      </c>
      <c r="D5" s="3">
        <v>83195937.5</v>
      </c>
      <c r="E5" s="2">
        <v>0</v>
      </c>
      <c r="F5" s="2">
        <v>9</v>
      </c>
      <c r="G5" s="2">
        <v>9</v>
      </c>
      <c r="H5" s="59">
        <v>3.4681211898117019</v>
      </c>
      <c r="I5" s="3"/>
      <c r="J5" s="3"/>
      <c r="K5" s="2"/>
      <c r="L5" s="2"/>
      <c r="M5" s="2"/>
      <c r="N5" s="2"/>
    </row>
    <row r="6" spans="1:14" x14ac:dyDescent="0.6">
      <c r="A6" s="2">
        <v>5</v>
      </c>
      <c r="B6" s="2">
        <v>5</v>
      </c>
      <c r="C6" s="2">
        <v>182743</v>
      </c>
      <c r="D6" s="3">
        <v>28553593.75</v>
      </c>
      <c r="E6" s="2">
        <v>0</v>
      </c>
      <c r="F6" s="2">
        <v>9</v>
      </c>
      <c r="G6" s="2">
        <v>9</v>
      </c>
      <c r="H6" s="59">
        <v>3.3716366700776499</v>
      </c>
      <c r="I6" s="3"/>
      <c r="J6" s="3"/>
      <c r="K6" s="2"/>
      <c r="L6" s="2"/>
      <c r="M6" s="2"/>
      <c r="N6" s="2"/>
    </row>
    <row r="7" spans="1:14" x14ac:dyDescent="0.6">
      <c r="A7" s="2">
        <v>6</v>
      </c>
      <c r="B7" s="2">
        <v>6</v>
      </c>
      <c r="C7" s="2">
        <v>98036</v>
      </c>
      <c r="D7" s="3">
        <v>15318125</v>
      </c>
      <c r="E7" s="2">
        <v>0</v>
      </c>
      <c r="F7" s="2">
        <v>9</v>
      </c>
      <c r="G7" s="2">
        <v>9</v>
      </c>
      <c r="H7" s="59">
        <v>3.3664164184585252</v>
      </c>
      <c r="I7" s="3"/>
      <c r="J7" s="3"/>
      <c r="K7" s="2"/>
      <c r="L7" s="2"/>
      <c r="M7" s="2"/>
      <c r="N7" s="2"/>
    </row>
    <row r="8" spans="1:14" x14ac:dyDescent="0.6">
      <c r="A8" s="2">
        <v>7</v>
      </c>
      <c r="B8" s="2">
        <v>7</v>
      </c>
      <c r="C8" s="2">
        <v>185924</v>
      </c>
      <c r="D8" s="3">
        <v>29050625</v>
      </c>
      <c r="E8" s="2">
        <v>0</v>
      </c>
      <c r="F8" s="2">
        <v>9</v>
      </c>
      <c r="G8" s="2">
        <v>9</v>
      </c>
      <c r="H8" s="59">
        <v>3.7435403713345239</v>
      </c>
      <c r="I8" s="3"/>
      <c r="J8" s="3"/>
      <c r="K8" s="2"/>
      <c r="L8" s="2"/>
      <c r="M8" s="2"/>
      <c r="N8" s="2"/>
    </row>
    <row r="9" spans="1:14" x14ac:dyDescent="0.6">
      <c r="A9" s="2">
        <v>8</v>
      </c>
      <c r="B9" s="2">
        <v>8</v>
      </c>
      <c r="C9" s="2">
        <v>271040</v>
      </c>
      <c r="D9" s="3">
        <v>42350000</v>
      </c>
      <c r="E9" s="2">
        <v>0</v>
      </c>
      <c r="F9" s="2">
        <v>9</v>
      </c>
      <c r="G9" s="2">
        <v>9</v>
      </c>
      <c r="H9" s="59">
        <v>3.4597587072018889</v>
      </c>
      <c r="I9" s="3"/>
      <c r="J9" s="3"/>
      <c r="K9" s="2"/>
      <c r="L9" s="2"/>
      <c r="M9" s="2"/>
      <c r="N9" s="2"/>
    </row>
    <row r="10" spans="1:14" x14ac:dyDescent="0.6">
      <c r="A10" s="2">
        <v>9</v>
      </c>
      <c r="B10" s="2">
        <v>9</v>
      </c>
      <c r="C10" s="2">
        <v>143305</v>
      </c>
      <c r="D10" s="3">
        <v>22391406.25</v>
      </c>
      <c r="E10" s="2">
        <v>0</v>
      </c>
      <c r="F10" s="2">
        <v>9</v>
      </c>
      <c r="G10" s="2">
        <v>9</v>
      </c>
      <c r="H10" s="59">
        <v>3.3991347126757616</v>
      </c>
      <c r="I10" s="3"/>
      <c r="J10" s="3"/>
      <c r="K10" s="2"/>
      <c r="L10" s="2"/>
      <c r="M10" s="2"/>
      <c r="N10" s="2"/>
    </row>
    <row r="11" spans="1:14" x14ac:dyDescent="0.6">
      <c r="A11" s="2">
        <v>10</v>
      </c>
      <c r="B11" s="2">
        <v>10</v>
      </c>
      <c r="C11" s="2">
        <v>42233</v>
      </c>
      <c r="D11" s="3">
        <v>6598906.25</v>
      </c>
      <c r="E11" s="2">
        <v>0</v>
      </c>
      <c r="F11" s="2">
        <v>9</v>
      </c>
      <c r="G11" s="2">
        <v>9</v>
      </c>
      <c r="H11" s="59">
        <v>3.6517652073023465</v>
      </c>
      <c r="I11" s="3"/>
      <c r="J11" s="3"/>
      <c r="K11" s="2"/>
      <c r="L11" s="2"/>
      <c r="M11" s="2"/>
      <c r="N11" s="2"/>
    </row>
    <row r="12" spans="1:14" x14ac:dyDescent="0.6">
      <c r="A12" s="2">
        <v>11</v>
      </c>
      <c r="B12" s="2">
        <v>11</v>
      </c>
      <c r="C12" s="2">
        <v>745</v>
      </c>
      <c r="D12" s="3">
        <v>116406.25</v>
      </c>
      <c r="E12" s="2">
        <v>3</v>
      </c>
      <c r="F12" s="2">
        <v>9</v>
      </c>
      <c r="G12" s="2">
        <v>6</v>
      </c>
      <c r="H12" s="59">
        <v>3.9006711409395973</v>
      </c>
      <c r="I12" s="3"/>
      <c r="J12" s="3"/>
      <c r="K12" s="2"/>
      <c r="L12" s="2"/>
      <c r="M12" s="2"/>
      <c r="N12" s="2"/>
    </row>
    <row r="13" spans="1:14" x14ac:dyDescent="0.6">
      <c r="A13" s="2">
        <v>12</v>
      </c>
      <c r="B13" s="2">
        <v>12</v>
      </c>
      <c r="C13" s="2">
        <v>51663</v>
      </c>
      <c r="D13" s="3">
        <v>8072343.75</v>
      </c>
      <c r="E13" s="2">
        <v>0</v>
      </c>
      <c r="F13" s="2">
        <v>9</v>
      </c>
      <c r="G13" s="2">
        <v>9</v>
      </c>
      <c r="H13" s="59">
        <v>3.640671273445212</v>
      </c>
      <c r="I13" s="3"/>
      <c r="J13" s="3"/>
      <c r="K13" s="2"/>
      <c r="L13" s="2"/>
      <c r="M13" s="2"/>
      <c r="N13" s="2"/>
    </row>
    <row r="14" spans="1:14" x14ac:dyDescent="0.6">
      <c r="A14" s="2">
        <v>13</v>
      </c>
      <c r="B14" s="2">
        <v>13</v>
      </c>
      <c r="C14" s="2">
        <v>70185</v>
      </c>
      <c r="D14" s="3">
        <v>10966406.25</v>
      </c>
      <c r="E14" s="2">
        <v>0</v>
      </c>
      <c r="F14" s="2">
        <v>9</v>
      </c>
      <c r="G14" s="2">
        <v>9</v>
      </c>
      <c r="H14" s="59">
        <v>3.6233525682125811</v>
      </c>
      <c r="I14" s="3"/>
      <c r="J14" s="3"/>
      <c r="K14" s="2"/>
      <c r="L14" s="2"/>
      <c r="M14" s="2"/>
      <c r="N14" s="2"/>
    </row>
    <row r="15" spans="1:14" x14ac:dyDescent="0.6">
      <c r="A15" s="2">
        <v>14</v>
      </c>
      <c r="B15" s="2">
        <v>14</v>
      </c>
      <c r="C15" s="2">
        <v>48959</v>
      </c>
      <c r="D15" s="3">
        <v>7649843.75</v>
      </c>
      <c r="E15" s="2">
        <v>0</v>
      </c>
      <c r="F15" s="2">
        <v>9</v>
      </c>
      <c r="G15" s="2">
        <v>9</v>
      </c>
      <c r="H15" s="59">
        <v>3.4049306562634039</v>
      </c>
      <c r="I15" s="3"/>
      <c r="J15" s="3"/>
      <c r="K15" s="2"/>
      <c r="L15" s="2"/>
      <c r="M15" s="2"/>
      <c r="N15" s="2"/>
    </row>
    <row r="16" spans="1:14" x14ac:dyDescent="0.6">
      <c r="A16" s="2">
        <v>15</v>
      </c>
      <c r="B16" s="2">
        <v>15</v>
      </c>
      <c r="C16" s="2">
        <v>135789</v>
      </c>
      <c r="D16" s="3">
        <v>21217031.25</v>
      </c>
      <c r="E16" s="2">
        <v>0</v>
      </c>
      <c r="F16" s="2">
        <v>9</v>
      </c>
      <c r="G16" s="2">
        <v>9</v>
      </c>
      <c r="H16" s="59">
        <v>4.0167686631464994</v>
      </c>
      <c r="I16" s="3"/>
      <c r="J16" s="3"/>
      <c r="K16" s="2"/>
      <c r="L16" s="2"/>
      <c r="M16" s="2"/>
      <c r="N16" s="2"/>
    </row>
    <row r="17" spans="1:18" x14ac:dyDescent="0.6">
      <c r="A17" s="2">
        <v>16</v>
      </c>
      <c r="B17" s="2">
        <v>16</v>
      </c>
      <c r="C17" s="2">
        <v>24262</v>
      </c>
      <c r="D17" s="3">
        <v>3790937.5</v>
      </c>
      <c r="E17" s="2">
        <v>3</v>
      </c>
      <c r="F17" s="2">
        <v>9</v>
      </c>
      <c r="G17" s="2">
        <v>6</v>
      </c>
      <c r="H17" s="59">
        <v>3.3603577611079052</v>
      </c>
      <c r="I17" s="3"/>
      <c r="J17" s="3"/>
      <c r="K17" s="2"/>
      <c r="L17" s="2"/>
      <c r="M17" s="2"/>
      <c r="N17" s="2"/>
    </row>
    <row r="18" spans="1:18" x14ac:dyDescent="0.6">
      <c r="A18" s="2">
        <v>17</v>
      </c>
      <c r="B18" s="2">
        <v>17</v>
      </c>
      <c r="C18" s="2">
        <v>90154</v>
      </c>
      <c r="D18" s="3">
        <v>14086562.5</v>
      </c>
      <c r="E18" s="2">
        <v>0</v>
      </c>
      <c r="F18" s="2">
        <v>9</v>
      </c>
      <c r="G18" s="2">
        <v>9</v>
      </c>
      <c r="H18" s="59">
        <v>3.1850056569869336</v>
      </c>
      <c r="I18" s="3"/>
      <c r="J18" s="3"/>
      <c r="K18" s="2"/>
      <c r="L18" s="2"/>
      <c r="M18" s="2"/>
      <c r="N18" s="2"/>
    </row>
    <row r="19" spans="1:18" x14ac:dyDescent="0.6">
      <c r="A19" s="2">
        <v>18</v>
      </c>
      <c r="B19" s="2">
        <v>18</v>
      </c>
      <c r="C19" s="2">
        <v>83330</v>
      </c>
      <c r="D19" s="3">
        <v>13020312.5</v>
      </c>
      <c r="E19" s="2">
        <v>0</v>
      </c>
      <c r="F19" s="2">
        <v>9</v>
      </c>
      <c r="G19" s="2">
        <v>9</v>
      </c>
      <c r="H19" s="59">
        <v>3.584759390375615</v>
      </c>
      <c r="I19" s="3"/>
      <c r="J19" s="3"/>
      <c r="K19" s="2"/>
      <c r="L19" s="2"/>
      <c r="M19" s="2"/>
      <c r="N19" s="2"/>
    </row>
    <row r="20" spans="1:18" x14ac:dyDescent="0.6">
      <c r="A20" s="2">
        <v>19</v>
      </c>
      <c r="B20" s="2">
        <v>19</v>
      </c>
      <c r="C20" s="2">
        <v>108151</v>
      </c>
      <c r="D20" s="3">
        <v>16898593.75</v>
      </c>
      <c r="E20" s="2">
        <v>0</v>
      </c>
      <c r="F20" s="2">
        <v>9</v>
      </c>
      <c r="G20" s="2">
        <v>9</v>
      </c>
      <c r="H20" s="59">
        <v>3.5488622389067137</v>
      </c>
      <c r="I20" s="3"/>
      <c r="J20" s="3"/>
      <c r="K20" s="2"/>
      <c r="L20" s="2"/>
      <c r="M20" s="2"/>
      <c r="N20" s="2"/>
    </row>
    <row r="21" spans="1:18" x14ac:dyDescent="0.6">
      <c r="A21" s="2">
        <v>20</v>
      </c>
      <c r="B21" s="2">
        <v>20</v>
      </c>
      <c r="C21" s="2">
        <v>53310</v>
      </c>
      <c r="D21" s="3">
        <v>8329687.5</v>
      </c>
      <c r="E21" s="2">
        <v>0</v>
      </c>
      <c r="F21" s="2">
        <v>9</v>
      </c>
      <c r="G21" s="2">
        <v>9</v>
      </c>
      <c r="H21" s="59">
        <v>3.6608328643781656</v>
      </c>
      <c r="I21" s="3"/>
      <c r="J21" s="3"/>
      <c r="K21" s="2"/>
      <c r="L21" s="2"/>
      <c r="M21" s="2"/>
      <c r="N21" s="2"/>
    </row>
    <row r="22" spans="1:18" x14ac:dyDescent="0.6">
      <c r="A22" s="2">
        <v>21</v>
      </c>
      <c r="B22" s="2">
        <v>21</v>
      </c>
      <c r="C22" s="2">
        <v>147559</v>
      </c>
      <c r="D22" s="3">
        <v>23056093.75</v>
      </c>
      <c r="E22" s="2">
        <v>0</v>
      </c>
      <c r="F22" s="2">
        <v>9</v>
      </c>
      <c r="G22" s="2">
        <v>9</v>
      </c>
      <c r="H22" s="59">
        <v>3.3127630303810678</v>
      </c>
      <c r="I22" s="3"/>
      <c r="J22" s="3"/>
      <c r="K22" s="2"/>
      <c r="L22" s="2"/>
      <c r="M22" s="2"/>
      <c r="N22" s="2"/>
    </row>
    <row r="23" spans="1:18" x14ac:dyDescent="0.6">
      <c r="A23" s="2">
        <v>22</v>
      </c>
      <c r="B23" s="2">
        <v>22</v>
      </c>
      <c r="C23" s="2">
        <v>127414</v>
      </c>
      <c r="D23" s="3">
        <v>19908437.5</v>
      </c>
      <c r="E23" s="2">
        <v>0</v>
      </c>
      <c r="F23" s="2">
        <v>9</v>
      </c>
      <c r="G23" s="2">
        <v>9</v>
      </c>
      <c r="H23" s="59">
        <v>3.752719481375673</v>
      </c>
      <c r="I23" s="3"/>
      <c r="J23" s="3"/>
      <c r="K23" s="2"/>
      <c r="L23" s="2"/>
      <c r="M23" s="2"/>
      <c r="N23" s="2"/>
    </row>
    <row r="24" spans="1:18" x14ac:dyDescent="0.6">
      <c r="A24" s="2">
        <v>23</v>
      </c>
      <c r="B24" s="2">
        <v>23</v>
      </c>
      <c r="C24" s="2">
        <v>215793</v>
      </c>
      <c r="D24" s="3">
        <v>33717656.25</v>
      </c>
      <c r="E24" s="2">
        <v>0</v>
      </c>
      <c r="F24" s="2">
        <v>9</v>
      </c>
      <c r="G24" s="2">
        <v>9</v>
      </c>
      <c r="H24" s="59">
        <v>3.2580852947037209</v>
      </c>
      <c r="I24" s="3"/>
      <c r="J24" s="3"/>
      <c r="K24" s="2"/>
      <c r="L24" s="2"/>
      <c r="M24" s="2"/>
      <c r="N24" s="2"/>
    </row>
    <row r="25" spans="1:18" x14ac:dyDescent="0.6">
      <c r="A25" s="2">
        <v>24</v>
      </c>
      <c r="B25" s="2">
        <v>24</v>
      </c>
      <c r="C25" s="2">
        <v>256733</v>
      </c>
      <c r="D25" s="3">
        <v>40114531.25</v>
      </c>
      <c r="E25" s="2">
        <v>0</v>
      </c>
      <c r="F25" s="2">
        <v>9</v>
      </c>
      <c r="G25" s="2">
        <v>9</v>
      </c>
      <c r="H25" s="59">
        <v>3.3312819154530193</v>
      </c>
      <c r="I25" s="3"/>
      <c r="J25" s="3"/>
      <c r="K25" s="2"/>
      <c r="L25" s="2"/>
      <c r="M25" s="2"/>
      <c r="N25" s="2"/>
    </row>
    <row r="26" spans="1:18" x14ac:dyDescent="0.6">
      <c r="A26" s="2">
        <v>25</v>
      </c>
      <c r="B26" s="2">
        <v>25</v>
      </c>
      <c r="C26" s="2">
        <v>500372</v>
      </c>
      <c r="D26" s="3">
        <v>78183125</v>
      </c>
      <c r="E26" s="2">
        <v>0</v>
      </c>
      <c r="F26" s="2">
        <v>9</v>
      </c>
      <c r="G26" s="2">
        <v>9</v>
      </c>
      <c r="H26" s="59">
        <v>3.2922785447626968</v>
      </c>
      <c r="I26" s="3"/>
      <c r="J26" s="3"/>
      <c r="K26" s="2"/>
      <c r="L26" s="2"/>
      <c r="M26" s="2"/>
      <c r="N26" s="2"/>
    </row>
    <row r="29" spans="1:18" ht="13.75" thickBot="1" x14ac:dyDescent="0.75"/>
    <row r="30" spans="1:18" ht="16.75" thickBot="1" x14ac:dyDescent="0.75">
      <c r="H30" s="8" t="s">
        <v>30</v>
      </c>
      <c r="I30" s="9" t="s">
        <v>31</v>
      </c>
      <c r="J30" s="9" t="s">
        <v>32</v>
      </c>
    </row>
    <row r="31" spans="1:18" ht="15.25" thickBot="1" x14ac:dyDescent="0.75">
      <c r="H31" s="10" t="s">
        <v>33</v>
      </c>
      <c r="I31" s="11">
        <v>32.049999999999997</v>
      </c>
      <c r="J31" s="11">
        <v>5.61</v>
      </c>
      <c r="L31" s="1" t="s">
        <v>34</v>
      </c>
      <c r="M31" s="1" t="s">
        <v>8</v>
      </c>
      <c r="N31" s="1" t="s">
        <v>2</v>
      </c>
      <c r="O31" s="1" t="s">
        <v>35</v>
      </c>
      <c r="P31" s="1" t="s">
        <v>9</v>
      </c>
      <c r="Q31" s="4" t="s">
        <v>10</v>
      </c>
      <c r="R31" s="4" t="s">
        <v>36</v>
      </c>
    </row>
    <row r="32" spans="1:18" ht="15.25" thickBot="1" x14ac:dyDescent="0.75">
      <c r="H32" s="10" t="s">
        <v>37</v>
      </c>
      <c r="I32" s="11">
        <v>1.21</v>
      </c>
      <c r="J32" s="11">
        <v>0.21</v>
      </c>
      <c r="L32" s="2">
        <v>0</v>
      </c>
      <c r="M32" s="2">
        <v>0</v>
      </c>
      <c r="N32" s="2">
        <v>19310</v>
      </c>
      <c r="O32" s="3" t="s">
        <v>38</v>
      </c>
      <c r="P32" s="12">
        <v>3017187.5</v>
      </c>
      <c r="Q32" s="5">
        <f>P32/1000</f>
        <v>3017.1875</v>
      </c>
      <c r="R32" s="5">
        <f>Q32/1000</f>
        <v>3.0171874999999999</v>
      </c>
    </row>
    <row r="33" spans="8:20" ht="15.25" thickBot="1" x14ac:dyDescent="0.75">
      <c r="H33" s="10" t="s">
        <v>39</v>
      </c>
      <c r="I33" s="11">
        <v>2.13</v>
      </c>
      <c r="J33" s="11">
        <v>0.37</v>
      </c>
      <c r="L33" s="2">
        <v>1</v>
      </c>
      <c r="M33" s="2">
        <v>2</v>
      </c>
      <c r="N33" s="2">
        <v>173049</v>
      </c>
      <c r="O33" s="3" t="s">
        <v>40</v>
      </c>
      <c r="P33" s="12">
        <v>27038906.25</v>
      </c>
      <c r="Q33" s="5">
        <f t="shared" ref="Q33:R40" si="0">P33/1000</f>
        <v>27038.90625</v>
      </c>
      <c r="R33" s="5">
        <f t="shared" si="0"/>
        <v>27.03890625</v>
      </c>
    </row>
    <row r="34" spans="8:20" ht="15.25" thickBot="1" x14ac:dyDescent="0.75">
      <c r="H34" s="10" t="s">
        <v>41</v>
      </c>
      <c r="I34" s="11">
        <v>11.03</v>
      </c>
      <c r="J34" s="11">
        <v>1.93</v>
      </c>
      <c r="L34" s="2">
        <v>2</v>
      </c>
      <c r="M34" s="2">
        <v>3</v>
      </c>
      <c r="N34" s="2">
        <v>2727151</v>
      </c>
      <c r="O34" s="3" t="s">
        <v>42</v>
      </c>
      <c r="P34" s="12">
        <v>426117343.75</v>
      </c>
      <c r="Q34" s="5">
        <f t="shared" si="0"/>
        <v>426117.34375</v>
      </c>
      <c r="R34" s="5">
        <f t="shared" si="0"/>
        <v>426.11734374999997</v>
      </c>
    </row>
    <row r="35" spans="8:20" ht="15.25" thickBot="1" x14ac:dyDescent="0.75">
      <c r="H35" s="10" t="s">
        <v>43</v>
      </c>
      <c r="I35" s="11">
        <v>424.19</v>
      </c>
      <c r="J35" s="11">
        <v>74.2</v>
      </c>
      <c r="L35" s="2">
        <v>3</v>
      </c>
      <c r="M35" s="2">
        <v>4</v>
      </c>
      <c r="N35" s="2">
        <v>454896</v>
      </c>
      <c r="O35" s="3" t="s">
        <v>44</v>
      </c>
      <c r="P35" s="12">
        <v>71077500</v>
      </c>
      <c r="Q35" s="5">
        <f t="shared" si="0"/>
        <v>71077.5</v>
      </c>
      <c r="R35" s="5">
        <f t="shared" si="0"/>
        <v>71.077500000000001</v>
      </c>
    </row>
    <row r="36" spans="8:20" ht="15.25" thickBot="1" x14ac:dyDescent="0.75">
      <c r="H36" s="10" t="s">
        <v>45</v>
      </c>
      <c r="I36" s="11">
        <v>71.040000000000006</v>
      </c>
      <c r="J36" s="11">
        <v>12.43</v>
      </c>
      <c r="L36" s="2">
        <v>4</v>
      </c>
      <c r="M36" s="2">
        <v>5</v>
      </c>
      <c r="N36" s="2">
        <v>70735</v>
      </c>
      <c r="O36" s="3" t="s">
        <v>46</v>
      </c>
      <c r="P36" s="12">
        <v>11052343.75</v>
      </c>
      <c r="Q36" s="5">
        <f t="shared" si="0"/>
        <v>11052.34375</v>
      </c>
      <c r="R36" s="5">
        <f t="shared" si="0"/>
        <v>11.05234375</v>
      </c>
    </row>
    <row r="37" spans="8:20" ht="15.25" thickBot="1" x14ac:dyDescent="0.75">
      <c r="H37" s="10" t="s">
        <v>47</v>
      </c>
      <c r="I37" s="11">
        <v>26.8</v>
      </c>
      <c r="J37" s="11">
        <v>4.6900000000000004</v>
      </c>
      <c r="L37" s="2">
        <v>5</v>
      </c>
      <c r="M37" s="2">
        <v>6</v>
      </c>
      <c r="N37" s="2">
        <v>7826</v>
      </c>
      <c r="O37" s="3" t="s">
        <v>48</v>
      </c>
      <c r="P37" s="12">
        <v>1222812.5</v>
      </c>
      <c r="Q37" s="13">
        <f t="shared" si="0"/>
        <v>1222.8125</v>
      </c>
      <c r="R37" s="13">
        <f t="shared" si="0"/>
        <v>1.2228125000000001</v>
      </c>
      <c r="S37" s="14"/>
      <c r="T37" s="14"/>
    </row>
    <row r="38" spans="8:20" ht="15.25" thickBot="1" x14ac:dyDescent="0.75">
      <c r="H38" s="10" t="s">
        <v>49</v>
      </c>
      <c r="I38" s="11">
        <v>1.69</v>
      </c>
      <c r="J38" s="11">
        <v>0.28999999999999998</v>
      </c>
      <c r="L38" s="2">
        <v>6</v>
      </c>
      <c r="M38" s="2">
        <v>7</v>
      </c>
      <c r="N38" s="2">
        <v>1056</v>
      </c>
      <c r="O38" s="3" t="s">
        <v>50</v>
      </c>
      <c r="P38" s="12">
        <v>165000</v>
      </c>
      <c r="Q38" s="13">
        <f t="shared" si="0"/>
        <v>165</v>
      </c>
      <c r="R38" s="13">
        <f t="shared" si="0"/>
        <v>0.16500000000000001</v>
      </c>
      <c r="S38" s="14"/>
      <c r="T38" s="14"/>
    </row>
    <row r="39" spans="8:20" ht="15.25" thickBot="1" x14ac:dyDescent="0.75">
      <c r="H39" s="10" t="s">
        <v>51</v>
      </c>
      <c r="I39" s="11">
        <v>0</v>
      </c>
      <c r="J39" s="11">
        <v>0</v>
      </c>
      <c r="L39" s="2">
        <v>7</v>
      </c>
      <c r="M39" s="2">
        <v>8</v>
      </c>
      <c r="N39" s="2">
        <v>13546</v>
      </c>
      <c r="O39" s="3" t="s">
        <v>52</v>
      </c>
      <c r="P39" s="12">
        <v>2116562.5</v>
      </c>
      <c r="Q39" s="13">
        <f t="shared" si="0"/>
        <v>2116.5625</v>
      </c>
      <c r="R39" s="13">
        <f t="shared" si="0"/>
        <v>2.1165625000000001</v>
      </c>
      <c r="S39" s="14"/>
      <c r="T39" s="14"/>
    </row>
    <row r="40" spans="8:20" ht="15.25" thickBot="1" x14ac:dyDescent="0.75">
      <c r="H40" s="10" t="s">
        <v>53</v>
      </c>
      <c r="I40" s="11">
        <v>1.34</v>
      </c>
      <c r="J40" s="11">
        <v>0.23</v>
      </c>
      <c r="L40" s="2">
        <v>8</v>
      </c>
      <c r="M40" s="2">
        <v>9</v>
      </c>
      <c r="N40" s="2">
        <v>205808</v>
      </c>
      <c r="O40" s="3" t="s">
        <v>54</v>
      </c>
      <c r="P40" s="12">
        <v>32157500</v>
      </c>
      <c r="Q40" s="13">
        <f t="shared" si="0"/>
        <v>32157.5</v>
      </c>
      <c r="R40" s="13">
        <f t="shared" si="0"/>
        <v>32.157499999999999</v>
      </c>
      <c r="S40" s="14"/>
      <c r="T40" s="14"/>
    </row>
    <row r="41" spans="8:20" ht="15.25" thickBot="1" x14ac:dyDescent="0.75">
      <c r="H41" s="10" t="s">
        <v>55</v>
      </c>
      <c r="I41" s="11">
        <v>0.16</v>
      </c>
      <c r="J41" s="11">
        <v>0.03</v>
      </c>
      <c r="L41" s="14"/>
      <c r="M41" s="14"/>
      <c r="N41" s="14"/>
      <c r="O41" s="14"/>
      <c r="P41" s="14"/>
      <c r="Q41" s="14"/>
      <c r="R41" s="14"/>
      <c r="S41" s="14"/>
      <c r="T41" s="14"/>
    </row>
    <row r="42" spans="8:20" ht="15.25" thickBot="1" x14ac:dyDescent="0.75">
      <c r="H42" s="10" t="s">
        <v>56</v>
      </c>
      <c r="I42" s="11">
        <v>571.66</v>
      </c>
      <c r="J42" s="11">
        <v>100</v>
      </c>
      <c r="R42" s="5">
        <f>SUM(R32:R40)</f>
        <v>573.96515624999995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38"/>
  <sheetViews>
    <sheetView zoomScale="85" zoomScaleNormal="85" workbookViewId="0">
      <pane ySplit="1" topLeftCell="A2" activePane="bottomLeft" state="frozen"/>
      <selection pane="bottomLeft" activeCell="I2" sqref="I2:I26"/>
    </sheetView>
  </sheetViews>
  <sheetFormatPr defaultRowHeight="13" x14ac:dyDescent="0.6"/>
  <cols>
    <col min="1" max="8" width="16" customWidth="1"/>
    <col min="9" max="9" width="15.26953125" customWidth="1"/>
    <col min="10" max="10" width="20.86328125" customWidth="1"/>
  </cols>
  <sheetData>
    <row r="1" spans="1:9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x14ac:dyDescent="0.6">
      <c r="A2" s="2">
        <v>1</v>
      </c>
      <c r="B2" s="2">
        <v>1</v>
      </c>
      <c r="C2" s="2">
        <v>66456</v>
      </c>
      <c r="D2" s="3">
        <v>10383750</v>
      </c>
      <c r="E2" s="3">
        <v>3.2000002861022949</v>
      </c>
      <c r="F2" s="3">
        <v>7.1000003814697266</v>
      </c>
      <c r="G2" s="3">
        <v>3.9000000953674316</v>
      </c>
      <c r="H2" s="3">
        <v>4.3467994493505104</v>
      </c>
      <c r="I2" s="5"/>
    </row>
    <row r="3" spans="1:9" x14ac:dyDescent="0.6">
      <c r="A3" s="2">
        <v>2</v>
      </c>
      <c r="B3" s="2">
        <v>2</v>
      </c>
      <c r="C3" s="2">
        <v>149661</v>
      </c>
      <c r="D3" s="3">
        <v>23384531.25</v>
      </c>
      <c r="E3" s="3">
        <v>3.0000002384185791</v>
      </c>
      <c r="F3" s="3">
        <v>7.4000000953674316</v>
      </c>
      <c r="G3" s="3">
        <v>4.3999998569488525</v>
      </c>
      <c r="H3" s="3">
        <v>4.984547933232645</v>
      </c>
      <c r="I3" s="5"/>
    </row>
    <row r="4" spans="1:9" x14ac:dyDescent="0.6">
      <c r="A4" s="2">
        <v>3</v>
      </c>
      <c r="B4" s="2">
        <v>3</v>
      </c>
      <c r="C4" s="2">
        <v>75868</v>
      </c>
      <c r="D4" s="3">
        <v>11854375</v>
      </c>
      <c r="E4" s="3">
        <v>2.9000003337860107</v>
      </c>
      <c r="F4" s="3">
        <v>7.3000001907348633</v>
      </c>
      <c r="G4" s="3">
        <v>4.3999998569488525</v>
      </c>
      <c r="H4" s="3">
        <v>4.7562990268419272</v>
      </c>
      <c r="I4" s="5"/>
    </row>
    <row r="5" spans="1:9" x14ac:dyDescent="0.6">
      <c r="A5" s="2">
        <v>4</v>
      </c>
      <c r="B5" s="2">
        <v>4</v>
      </c>
      <c r="C5" s="2">
        <v>415531</v>
      </c>
      <c r="D5" s="3">
        <v>64926718.75</v>
      </c>
      <c r="E5" s="3">
        <v>2.9000000953674316</v>
      </c>
      <c r="F5" s="3">
        <v>7.3000001907348633</v>
      </c>
      <c r="G5" s="3">
        <v>4.4000000953674316</v>
      </c>
      <c r="H5" s="3">
        <v>4.7002275659778592</v>
      </c>
      <c r="I5" s="5"/>
    </row>
    <row r="6" spans="1:9" x14ac:dyDescent="0.6">
      <c r="A6" s="2">
        <v>5</v>
      </c>
      <c r="B6" s="2">
        <v>5</v>
      </c>
      <c r="C6" s="2">
        <v>182079</v>
      </c>
      <c r="D6" s="3">
        <v>28449843.75</v>
      </c>
      <c r="E6" s="3">
        <v>3.2000000476837158</v>
      </c>
      <c r="F6" s="3">
        <v>7.2000002861022949</v>
      </c>
      <c r="G6" s="3">
        <v>4.0000002384185791</v>
      </c>
      <c r="H6" s="3">
        <v>4.5417788368028038</v>
      </c>
      <c r="I6" s="5"/>
    </row>
    <row r="7" spans="1:9" x14ac:dyDescent="0.6">
      <c r="A7" s="2">
        <v>6</v>
      </c>
      <c r="B7" s="2">
        <v>6</v>
      </c>
      <c r="C7" s="2">
        <v>96790</v>
      </c>
      <c r="D7" s="3">
        <v>15123437.5</v>
      </c>
      <c r="E7" s="3">
        <v>2.7500002384185791</v>
      </c>
      <c r="F7" s="3">
        <v>7.1500000953674316</v>
      </c>
      <c r="G7" s="3">
        <v>4.3999998569488525</v>
      </c>
      <c r="H7" s="3">
        <v>4.3442752296243006</v>
      </c>
      <c r="I7" s="5"/>
    </row>
    <row r="8" spans="1:9" x14ac:dyDescent="0.6">
      <c r="A8" s="2">
        <v>7</v>
      </c>
      <c r="B8" s="2">
        <v>7</v>
      </c>
      <c r="C8" s="2">
        <v>143000</v>
      </c>
      <c r="D8" s="3">
        <v>22343750</v>
      </c>
      <c r="E8" s="3">
        <v>3.0500001907348633</v>
      </c>
      <c r="F8" s="3">
        <v>7.8499999046325684</v>
      </c>
      <c r="G8" s="3">
        <v>4.7999997138977051</v>
      </c>
      <c r="H8" s="3">
        <v>5.1110150661985356</v>
      </c>
      <c r="I8" s="5"/>
    </row>
    <row r="9" spans="1:9" x14ac:dyDescent="0.6">
      <c r="A9" s="2">
        <v>8</v>
      </c>
      <c r="B9" s="2">
        <v>8</v>
      </c>
      <c r="C9" s="2">
        <v>271040</v>
      </c>
      <c r="D9" s="3">
        <v>42350000</v>
      </c>
      <c r="E9" s="3">
        <v>2.9000000953674316</v>
      </c>
      <c r="F9" s="3">
        <v>7.3000001907348633</v>
      </c>
      <c r="G9" s="3">
        <v>4.4000000953674316</v>
      </c>
      <c r="H9" s="3">
        <v>4.6325661210490585</v>
      </c>
      <c r="I9" s="5"/>
    </row>
    <row r="10" spans="1:9" x14ac:dyDescent="0.6">
      <c r="A10" s="2">
        <v>9</v>
      </c>
      <c r="B10" s="2">
        <v>9</v>
      </c>
      <c r="C10" s="2">
        <v>143120</v>
      </c>
      <c r="D10" s="3">
        <v>22362500</v>
      </c>
      <c r="E10" s="3">
        <v>2.8000001907348633</v>
      </c>
      <c r="F10" s="3">
        <v>7.2000002861022949</v>
      </c>
      <c r="G10" s="3">
        <v>4.4000000953674316</v>
      </c>
      <c r="H10" s="3">
        <v>4.3630893246863662</v>
      </c>
      <c r="I10" s="5"/>
    </row>
    <row r="11" spans="1:9" x14ac:dyDescent="0.6">
      <c r="A11" s="2">
        <v>10</v>
      </c>
      <c r="B11" s="2">
        <v>10</v>
      </c>
      <c r="C11" s="2">
        <v>42233</v>
      </c>
      <c r="D11" s="3">
        <v>6598906.25</v>
      </c>
      <c r="E11" s="3">
        <v>2.7000002861022949</v>
      </c>
      <c r="F11" s="3">
        <v>7.1000003814697266</v>
      </c>
      <c r="G11" s="3">
        <v>4.4000000953674316</v>
      </c>
      <c r="H11" s="3">
        <v>4.5265883087273551</v>
      </c>
      <c r="I11" s="5"/>
    </row>
    <row r="12" spans="1:9" x14ac:dyDescent="0.6">
      <c r="A12" s="2">
        <v>11</v>
      </c>
      <c r="B12" s="2">
        <v>11</v>
      </c>
      <c r="C12" s="2">
        <v>745</v>
      </c>
      <c r="D12" s="3">
        <v>116406.25</v>
      </c>
      <c r="E12" s="3">
        <v>3.6000001430511475</v>
      </c>
      <c r="F12" s="3">
        <v>6.3000001907348633</v>
      </c>
      <c r="G12" s="3">
        <v>2.7000000476837158</v>
      </c>
      <c r="H12" s="3">
        <v>4.3159060686226658</v>
      </c>
      <c r="I12" s="5"/>
    </row>
    <row r="13" spans="1:9" x14ac:dyDescent="0.6">
      <c r="A13" s="2">
        <v>12</v>
      </c>
      <c r="B13" s="2">
        <v>12</v>
      </c>
      <c r="C13" s="2">
        <v>51663</v>
      </c>
      <c r="D13" s="3">
        <v>8072343.75</v>
      </c>
      <c r="E13" s="3">
        <v>3.1000001430511475</v>
      </c>
      <c r="F13" s="3">
        <v>7.1000003814697266</v>
      </c>
      <c r="G13" s="3">
        <v>4.0000002384185791</v>
      </c>
      <c r="H13" s="3">
        <v>4.5572335189489426</v>
      </c>
      <c r="I13" s="5"/>
    </row>
    <row r="14" spans="1:9" x14ac:dyDescent="0.6">
      <c r="A14" s="2">
        <v>13</v>
      </c>
      <c r="B14" s="2">
        <v>13</v>
      </c>
      <c r="C14" s="2">
        <v>70185</v>
      </c>
      <c r="D14" s="3">
        <v>10966406.25</v>
      </c>
      <c r="E14" s="3">
        <v>2.7500002384185791</v>
      </c>
      <c r="F14" s="3">
        <v>7.1500000953674316</v>
      </c>
      <c r="G14" s="3">
        <v>4.3999998569488525</v>
      </c>
      <c r="H14" s="3">
        <v>4.6275307589160874</v>
      </c>
      <c r="I14" s="5"/>
    </row>
    <row r="15" spans="1:9" x14ac:dyDescent="0.6">
      <c r="A15" s="2">
        <v>14</v>
      </c>
      <c r="B15" s="2">
        <v>14</v>
      </c>
      <c r="C15" s="2">
        <v>48959</v>
      </c>
      <c r="D15" s="3">
        <v>7649843.75</v>
      </c>
      <c r="E15" s="3">
        <v>2.9500002861022949</v>
      </c>
      <c r="F15" s="3">
        <v>6.7000002861022949</v>
      </c>
      <c r="G15" s="3">
        <v>3.75</v>
      </c>
      <c r="H15" s="3">
        <v>4.1977971753969108</v>
      </c>
      <c r="I15" s="5"/>
    </row>
    <row r="16" spans="1:9" x14ac:dyDescent="0.6">
      <c r="A16" s="2">
        <v>15</v>
      </c>
      <c r="B16" s="2">
        <v>15</v>
      </c>
      <c r="C16" s="2">
        <v>134575</v>
      </c>
      <c r="D16" s="3">
        <v>21027343.75</v>
      </c>
      <c r="E16" s="3">
        <v>3.0000002384185791</v>
      </c>
      <c r="F16" s="3">
        <v>8.1999998092651367</v>
      </c>
      <c r="G16" s="3">
        <v>5.1999995708465576</v>
      </c>
      <c r="H16" s="3">
        <v>5.100996320241892</v>
      </c>
      <c r="I16" s="5"/>
    </row>
    <row r="17" spans="1:9" x14ac:dyDescent="0.6">
      <c r="A17" s="2">
        <v>16</v>
      </c>
      <c r="B17" s="2">
        <v>16</v>
      </c>
      <c r="C17" s="2">
        <v>24262</v>
      </c>
      <c r="D17" s="3">
        <v>3790937.5</v>
      </c>
      <c r="E17" s="3">
        <v>3.6000001430511475</v>
      </c>
      <c r="F17" s="3">
        <v>7.1000003814697266</v>
      </c>
      <c r="G17" s="3">
        <v>3.5000002384185791</v>
      </c>
      <c r="H17" s="3">
        <v>4.2255441063697043</v>
      </c>
      <c r="I17" s="5"/>
    </row>
    <row r="18" spans="1:9" x14ac:dyDescent="0.6">
      <c r="A18" s="2">
        <v>17</v>
      </c>
      <c r="B18" s="2">
        <v>17</v>
      </c>
      <c r="C18" s="2">
        <v>89374</v>
      </c>
      <c r="D18" s="3">
        <v>13964687.5</v>
      </c>
      <c r="E18" s="3">
        <v>2.7500002384185791</v>
      </c>
      <c r="F18" s="3">
        <v>6.75</v>
      </c>
      <c r="G18" s="3">
        <v>3.9999997615814209</v>
      </c>
      <c r="H18" s="3">
        <v>4.4809059950660188</v>
      </c>
      <c r="I18" s="5"/>
    </row>
    <row r="19" spans="1:9" x14ac:dyDescent="0.6">
      <c r="A19" s="2">
        <v>18</v>
      </c>
      <c r="B19" s="2">
        <v>18</v>
      </c>
      <c r="C19" s="2">
        <v>83330</v>
      </c>
      <c r="D19" s="3">
        <v>13020312.5</v>
      </c>
      <c r="E19" s="3">
        <v>2.7500002384185791</v>
      </c>
      <c r="F19" s="3">
        <v>7.1500000953674316</v>
      </c>
      <c r="G19" s="3">
        <v>4.3999998569488525</v>
      </c>
      <c r="H19" s="3">
        <v>4.5456863915893075</v>
      </c>
      <c r="I19" s="5"/>
    </row>
    <row r="20" spans="1:9" x14ac:dyDescent="0.6">
      <c r="A20" s="2">
        <v>19</v>
      </c>
      <c r="B20" s="2">
        <v>19</v>
      </c>
      <c r="C20" s="2">
        <v>108151</v>
      </c>
      <c r="D20" s="3">
        <v>16898593.75</v>
      </c>
      <c r="E20" s="3">
        <v>2.7500002384185791</v>
      </c>
      <c r="F20" s="3">
        <v>7.1500000953674316</v>
      </c>
      <c r="G20" s="3">
        <v>4.3999998569488525</v>
      </c>
      <c r="H20" s="3">
        <v>4.4555061776134677</v>
      </c>
      <c r="I20" s="5"/>
    </row>
    <row r="21" spans="1:9" x14ac:dyDescent="0.6">
      <c r="A21" s="2">
        <v>20</v>
      </c>
      <c r="B21" s="2">
        <v>20</v>
      </c>
      <c r="C21" s="2">
        <v>53310</v>
      </c>
      <c r="D21" s="3">
        <v>8329687.5</v>
      </c>
      <c r="E21" s="3">
        <v>3.1000001430511475</v>
      </c>
      <c r="F21" s="3">
        <v>7.1000003814697266</v>
      </c>
      <c r="G21" s="3">
        <v>4.0000002384185791</v>
      </c>
      <c r="H21" s="3">
        <v>4.4610374076933068</v>
      </c>
      <c r="I21" s="5"/>
    </row>
    <row r="22" spans="1:9" x14ac:dyDescent="0.6">
      <c r="A22" s="2">
        <v>21</v>
      </c>
      <c r="B22" s="2">
        <v>21</v>
      </c>
      <c r="C22" s="2">
        <v>147559</v>
      </c>
      <c r="D22" s="3">
        <v>23056093.75</v>
      </c>
      <c r="E22" s="3">
        <v>2.8000001907348633</v>
      </c>
      <c r="F22" s="3">
        <v>7.2000002861022949</v>
      </c>
      <c r="G22" s="3">
        <v>4.4000000953674316</v>
      </c>
      <c r="H22" s="3">
        <v>4.4410452532843703</v>
      </c>
      <c r="I22" s="5"/>
    </row>
    <row r="23" spans="1:9" x14ac:dyDescent="0.6">
      <c r="A23" s="2">
        <v>22</v>
      </c>
      <c r="B23" s="2">
        <v>22</v>
      </c>
      <c r="C23" s="2">
        <v>126675</v>
      </c>
      <c r="D23" s="3">
        <v>19792968.75</v>
      </c>
      <c r="E23" s="3">
        <v>3.0000002384185791</v>
      </c>
      <c r="F23" s="3">
        <v>7.4000000953674316</v>
      </c>
      <c r="G23" s="3">
        <v>4.3999998569488525</v>
      </c>
      <c r="H23" s="3">
        <v>4.9198462904306561</v>
      </c>
      <c r="I23" s="5"/>
    </row>
    <row r="24" spans="1:9" x14ac:dyDescent="0.6">
      <c r="A24" s="2">
        <v>23</v>
      </c>
      <c r="B24" s="2">
        <v>23</v>
      </c>
      <c r="C24" s="2">
        <v>214225</v>
      </c>
      <c r="D24" s="3">
        <v>33472656.25</v>
      </c>
      <c r="E24" s="3">
        <v>3.1000001430511475</v>
      </c>
      <c r="F24" s="3">
        <v>7.2500004768371582</v>
      </c>
      <c r="G24" s="3">
        <v>4.1500003337860107</v>
      </c>
      <c r="H24" s="3">
        <v>4.6475342256294718</v>
      </c>
      <c r="I24" s="5"/>
    </row>
    <row r="25" spans="1:9" x14ac:dyDescent="0.6">
      <c r="A25" s="2">
        <v>24</v>
      </c>
      <c r="B25" s="2">
        <v>24</v>
      </c>
      <c r="C25" s="2">
        <v>255830</v>
      </c>
      <c r="D25" s="3">
        <v>39973437.5</v>
      </c>
      <c r="E25" s="3">
        <v>3.0500001907348633</v>
      </c>
      <c r="F25" s="3">
        <v>7.4500002861022949</v>
      </c>
      <c r="G25" s="3">
        <v>4.4000000953674316</v>
      </c>
      <c r="H25" s="3">
        <v>4.7823456942781171</v>
      </c>
      <c r="I25" s="5"/>
    </row>
    <row r="26" spans="1:9" x14ac:dyDescent="0.6">
      <c r="A26" s="2">
        <v>25</v>
      </c>
      <c r="B26" s="2">
        <v>25</v>
      </c>
      <c r="C26" s="2">
        <v>495118</v>
      </c>
      <c r="D26" s="3">
        <v>77362187.5</v>
      </c>
      <c r="E26" s="3">
        <v>2.9000000953674316</v>
      </c>
      <c r="F26" s="3">
        <v>7.3000001907348633</v>
      </c>
      <c r="G26" s="3">
        <v>4.4000000953674316</v>
      </c>
      <c r="H26" s="3">
        <v>4.6478237562179103</v>
      </c>
      <c r="I26" s="5"/>
    </row>
    <row r="31" spans="1:9" x14ac:dyDescent="0.6">
      <c r="H31" s="6" t="s">
        <v>23</v>
      </c>
    </row>
    <row r="33" spans="8:10" x14ac:dyDescent="0.6">
      <c r="H33" s="1"/>
      <c r="I33" s="1" t="s">
        <v>3</v>
      </c>
      <c r="J33" s="1" t="s">
        <v>25</v>
      </c>
    </row>
    <row r="34" spans="8:10" x14ac:dyDescent="0.6">
      <c r="H34" s="2"/>
      <c r="I34" s="3">
        <v>139958750</v>
      </c>
      <c r="J34">
        <f>I34/10000</f>
        <v>13995.875</v>
      </c>
    </row>
    <row r="35" spans="8:10" x14ac:dyDescent="0.6">
      <c r="H35" s="2"/>
      <c r="I35" s="3">
        <v>199003906.25</v>
      </c>
      <c r="J35">
        <f>I35/10000</f>
        <v>19900.390625</v>
      </c>
    </row>
    <row r="36" spans="8:10" x14ac:dyDescent="0.6">
      <c r="H36" s="2"/>
      <c r="I36" s="3">
        <v>143267812.5</v>
      </c>
      <c r="J36">
        <f>I36/10000</f>
        <v>14326.78125</v>
      </c>
    </row>
    <row r="37" spans="8:10" x14ac:dyDescent="0.6">
      <c r="H37" s="2"/>
      <c r="I37" s="3">
        <v>43881093.75</v>
      </c>
      <c r="J37">
        <f>I37/10000</f>
        <v>4388.109375</v>
      </c>
    </row>
    <row r="38" spans="8:10" x14ac:dyDescent="0.6">
      <c r="H38" s="2"/>
      <c r="I38" s="3">
        <v>19160156.25</v>
      </c>
      <c r="J38">
        <f>I38/10000</f>
        <v>1916.015625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topLeftCell="A16" workbookViewId="0">
      <selection activeCell="L2" sqref="L2"/>
    </sheetView>
  </sheetViews>
  <sheetFormatPr defaultRowHeight="13" x14ac:dyDescent="0.6"/>
  <cols>
    <col min="1" max="1" width="10.953125" style="16" customWidth="1"/>
    <col min="2" max="2" width="8.6328125" style="16" customWidth="1"/>
    <col min="3" max="4" width="8.2265625" style="16" customWidth="1"/>
    <col min="5" max="5" width="15.54296875" style="16" customWidth="1"/>
    <col min="6" max="6" width="9.26953125" style="16" customWidth="1"/>
    <col min="7" max="7" width="8.04296875" style="16" customWidth="1"/>
    <col min="8" max="8" width="8.36328125" customWidth="1"/>
    <col min="9" max="9" width="8.7265625" style="16"/>
    <col min="10" max="10" width="11" customWidth="1"/>
    <col min="11" max="11" width="8.7265625" style="16"/>
    <col min="12" max="12" width="12.36328125" style="16" customWidth="1"/>
    <col min="14" max="14" width="12.36328125" style="16" customWidth="1"/>
    <col min="15" max="15" width="8.2265625" style="16" customWidth="1"/>
  </cols>
  <sheetData>
    <row r="1" spans="1:18" s="18" customFormat="1" ht="30.75" x14ac:dyDescent="0.6">
      <c r="A1" s="29" t="s">
        <v>58</v>
      </c>
      <c r="B1" s="29" t="s">
        <v>68</v>
      </c>
      <c r="C1" s="29" t="s">
        <v>57</v>
      </c>
      <c r="D1" s="38" t="s">
        <v>59</v>
      </c>
      <c r="E1" s="38" t="s">
        <v>60</v>
      </c>
      <c r="F1" s="29" t="s">
        <v>69</v>
      </c>
      <c r="G1" s="38" t="s">
        <v>70</v>
      </c>
      <c r="H1" s="29" t="s">
        <v>61</v>
      </c>
      <c r="I1" s="42" t="s">
        <v>62</v>
      </c>
      <c r="J1" s="38" t="s">
        <v>63</v>
      </c>
      <c r="K1" s="30" t="s">
        <v>65</v>
      </c>
      <c r="L1" s="21" t="s">
        <v>64</v>
      </c>
      <c r="N1" s="21" t="s">
        <v>67</v>
      </c>
      <c r="O1" s="20" t="s">
        <v>66</v>
      </c>
      <c r="Q1" s="19" t="s">
        <v>64</v>
      </c>
      <c r="R1" s="19" t="s">
        <v>57</v>
      </c>
    </row>
    <row r="2" spans="1:18" ht="13.25" x14ac:dyDescent="0.65">
      <c r="A2" s="31">
        <v>1</v>
      </c>
      <c r="B2" s="31">
        <v>10386406.25</v>
      </c>
      <c r="C2" s="32">
        <v>4.165789373117577</v>
      </c>
      <c r="D2" s="39">
        <f>IF(C2&lt;1.8,8,IF(C2&lt;2.6,7,IF(C2&lt;3.4,6,IF(C2&lt;4.2,5,4))))</f>
        <v>5</v>
      </c>
      <c r="E2" s="40">
        <v>5</v>
      </c>
      <c r="F2" s="34">
        <v>4.309999942779541E-2</v>
      </c>
      <c r="G2" s="41">
        <f>IF(F2&lt;0.0484,3,IF(F2&lt;0.0828,4,IF(F2&lt;0.141,5,IF(F2&lt;0.206,6,7))))</f>
        <v>3</v>
      </c>
      <c r="H2" s="32">
        <v>48.190373476529501</v>
      </c>
      <c r="I2" s="41">
        <f>IF(H2&lt;47,3,IF(H2&lt;49,5,IF(H2&lt;52,7,9)))</f>
        <v>5</v>
      </c>
      <c r="J2" s="39">
        <v>3.6365658362989324</v>
      </c>
      <c r="K2" s="35">
        <f>L2+0.4*D2</f>
        <v>4.5591414590747332</v>
      </c>
      <c r="L2" s="22">
        <f>0.1*E2+0.05*G2+0.2*I2+0.25*J2</f>
        <v>2.5591414590747332</v>
      </c>
      <c r="N2" s="22">
        <v>2.5591414590747332</v>
      </c>
      <c r="O2" s="15">
        <f>D2*0.4</f>
        <v>2</v>
      </c>
      <c r="P2" s="4" t="s">
        <v>4</v>
      </c>
      <c r="Q2">
        <f>5*0.1+3*0.05+1*0.2+1*0.25</f>
        <v>1.1000000000000001</v>
      </c>
      <c r="R2">
        <f>4*0.4</f>
        <v>1.6</v>
      </c>
    </row>
    <row r="3" spans="1:18" s="27" customFormat="1" ht="13.25" x14ac:dyDescent="0.65">
      <c r="A3" s="31">
        <v>2</v>
      </c>
      <c r="B3" s="31">
        <v>24712968.75</v>
      </c>
      <c r="C3" s="32">
        <v>3.3626827856574568</v>
      </c>
      <c r="D3" s="39">
        <f t="shared" ref="D3:D26" si="0">IF(C3&lt;1.8,8,IF(C3&lt;2.6,7,IF(C3&lt;3.4,6,IF(C3&lt;4.2,5,4))))</f>
        <v>6</v>
      </c>
      <c r="E3" s="40">
        <v>7</v>
      </c>
      <c r="F3" s="34">
        <v>8.3800002932548523E-2</v>
      </c>
      <c r="G3" s="41">
        <f t="shared" ref="G3:G26" si="1">IF(F3&lt;0.0484,3,IF(F3&lt;0.0828,4,IF(F3&lt;0.141,5,IF(F3&lt;0.206,6,7))))</f>
        <v>5</v>
      </c>
      <c r="H3" s="32">
        <v>48.237525190645485</v>
      </c>
      <c r="I3" s="41">
        <f t="shared" ref="I3:I26" si="2">IF(H3&lt;47,3,IF(H3&lt;49,5,IF(H3&lt;52,7,9)))</f>
        <v>5</v>
      </c>
      <c r="J3" s="39">
        <v>3.5541009969031303</v>
      </c>
      <c r="K3" s="37">
        <f t="shared" ref="K3:K26" si="3">L3+0.4*D3</f>
        <v>5.2385252492257832</v>
      </c>
      <c r="L3" s="26">
        <f t="shared" ref="L3:L26" si="4">0.1*E3+0.05*G3+0.2*I3+0.25*J3</f>
        <v>2.8385252492257829</v>
      </c>
      <c r="N3" s="24">
        <v>2.8385252492257829</v>
      </c>
      <c r="O3" s="25">
        <f t="shared" ref="O3:O26" si="5">D3*0.4</f>
        <v>2.4000000000000004</v>
      </c>
      <c r="P3" s="28" t="s">
        <v>5</v>
      </c>
      <c r="Q3" s="27">
        <f>7*0.1+7*0.05+9*0.2+9*0.25</f>
        <v>5.0999999999999996</v>
      </c>
      <c r="R3" s="27">
        <f>8*0.4</f>
        <v>3.2</v>
      </c>
    </row>
    <row r="4" spans="1:18" ht="13.25" x14ac:dyDescent="0.65">
      <c r="A4" s="31">
        <v>3</v>
      </c>
      <c r="B4" s="31">
        <v>11856875</v>
      </c>
      <c r="C4" s="32">
        <v>3.514907879659368</v>
      </c>
      <c r="D4" s="39">
        <f t="shared" si="0"/>
        <v>5</v>
      </c>
      <c r="E4" s="40">
        <v>7</v>
      </c>
      <c r="F4" s="34">
        <v>4.1200000792741776E-2</v>
      </c>
      <c r="G4" s="41">
        <f t="shared" si="1"/>
        <v>3</v>
      </c>
      <c r="H4" s="32">
        <v>48.221760643505412</v>
      </c>
      <c r="I4" s="41">
        <f t="shared" si="2"/>
        <v>5</v>
      </c>
      <c r="J4" s="39">
        <v>3.4015731515469323</v>
      </c>
      <c r="K4" s="37">
        <f t="shared" si="3"/>
        <v>4.7003932878867332</v>
      </c>
      <c r="L4" s="22">
        <f t="shared" si="4"/>
        <v>2.7003932878867332</v>
      </c>
      <c r="N4" s="22">
        <v>2.7003932878867332</v>
      </c>
      <c r="O4" s="15">
        <f t="shared" si="5"/>
        <v>2</v>
      </c>
    </row>
    <row r="5" spans="1:18" ht="13.25" x14ac:dyDescent="0.65">
      <c r="A5" s="31">
        <v>4</v>
      </c>
      <c r="B5" s="31">
        <v>82819531.25</v>
      </c>
      <c r="C5" s="32">
        <v>3.5596108411062355</v>
      </c>
      <c r="D5" s="39">
        <f t="shared" si="0"/>
        <v>5</v>
      </c>
      <c r="E5" s="40">
        <v>5</v>
      </c>
      <c r="F5" s="34">
        <v>0.30270001292228699</v>
      </c>
      <c r="G5" s="41">
        <f t="shared" si="1"/>
        <v>7</v>
      </c>
      <c r="H5" s="32">
        <v>48.355412633160945</v>
      </c>
      <c r="I5" s="41">
        <f t="shared" si="2"/>
        <v>5</v>
      </c>
      <c r="J5" s="39">
        <v>3.4681211898117019</v>
      </c>
      <c r="K5" s="37">
        <f t="shared" si="3"/>
        <v>4.7170302974529257</v>
      </c>
      <c r="L5" s="22">
        <f t="shared" si="4"/>
        <v>2.7170302974529257</v>
      </c>
      <c r="N5" s="22">
        <v>2.7170302974529257</v>
      </c>
      <c r="O5" s="15">
        <f t="shared" si="5"/>
        <v>2</v>
      </c>
    </row>
    <row r="6" spans="1:18" ht="13.25" x14ac:dyDescent="0.65">
      <c r="A6" s="31">
        <v>5</v>
      </c>
      <c r="B6" s="31">
        <v>28455468.75</v>
      </c>
      <c r="C6" s="32">
        <v>4.1261095798824332</v>
      </c>
      <c r="D6" s="39">
        <f t="shared" si="0"/>
        <v>5</v>
      </c>
      <c r="E6" s="40">
        <v>5</v>
      </c>
      <c r="F6" s="34">
        <v>0.10140000283718109</v>
      </c>
      <c r="G6" s="41">
        <f t="shared" si="1"/>
        <v>5</v>
      </c>
      <c r="H6" s="32">
        <v>48.535639845352605</v>
      </c>
      <c r="I6" s="41">
        <f t="shared" si="2"/>
        <v>5</v>
      </c>
      <c r="J6" s="39">
        <v>3.3716366700776499</v>
      </c>
      <c r="K6" s="37">
        <f t="shared" si="3"/>
        <v>4.5929091675194123</v>
      </c>
      <c r="L6" s="22">
        <f t="shared" si="4"/>
        <v>2.5929091675194123</v>
      </c>
      <c r="N6" s="22">
        <v>2.5929091675194123</v>
      </c>
      <c r="O6" s="15">
        <f t="shared" si="5"/>
        <v>2</v>
      </c>
    </row>
    <row r="7" spans="1:18" ht="13.25" x14ac:dyDescent="0.65">
      <c r="A7" s="31">
        <v>6</v>
      </c>
      <c r="B7" s="31">
        <v>15318125</v>
      </c>
      <c r="C7" s="32">
        <v>3.9306311424162099</v>
      </c>
      <c r="D7" s="39">
        <f t="shared" si="0"/>
        <v>5</v>
      </c>
      <c r="E7" s="40">
        <v>5</v>
      </c>
      <c r="F7" s="34">
        <v>7.3600001633167267E-2</v>
      </c>
      <c r="G7" s="41">
        <f t="shared" si="1"/>
        <v>4</v>
      </c>
      <c r="H7" s="32">
        <v>48.033886077194673</v>
      </c>
      <c r="I7" s="41">
        <f t="shared" si="2"/>
        <v>5</v>
      </c>
      <c r="J7" s="39">
        <v>3.3664164184585252</v>
      </c>
      <c r="K7" s="37">
        <f t="shared" si="3"/>
        <v>4.5416041046146312</v>
      </c>
      <c r="L7" s="22">
        <f t="shared" si="4"/>
        <v>2.5416041046146312</v>
      </c>
      <c r="N7" s="22">
        <v>2.5416041046146312</v>
      </c>
      <c r="O7" s="15">
        <f t="shared" si="5"/>
        <v>2</v>
      </c>
    </row>
    <row r="8" spans="1:18" s="27" customFormat="1" ht="13.25" x14ac:dyDescent="0.65">
      <c r="A8" s="31">
        <v>7</v>
      </c>
      <c r="B8" s="31">
        <v>28988906.25</v>
      </c>
      <c r="C8" s="32">
        <v>3.063689441096495</v>
      </c>
      <c r="D8" s="39">
        <f t="shared" si="0"/>
        <v>6</v>
      </c>
      <c r="E8" s="40">
        <v>7</v>
      </c>
      <c r="F8" s="34">
        <v>0.14229999482631683</v>
      </c>
      <c r="G8" s="41">
        <f t="shared" si="1"/>
        <v>6</v>
      </c>
      <c r="H8" s="32">
        <v>48.386123192070393</v>
      </c>
      <c r="I8" s="41">
        <f t="shared" si="2"/>
        <v>5</v>
      </c>
      <c r="J8" s="39">
        <v>3.7435403713345239</v>
      </c>
      <c r="K8" s="37">
        <f t="shared" si="3"/>
        <v>5.3358850928336317</v>
      </c>
      <c r="L8" s="26">
        <f t="shared" si="4"/>
        <v>2.9358850928336309</v>
      </c>
      <c r="N8" s="24">
        <v>2.9358850928336309</v>
      </c>
      <c r="O8" s="25">
        <f t="shared" si="5"/>
        <v>2.4000000000000004</v>
      </c>
    </row>
    <row r="9" spans="1:18" ht="13.25" x14ac:dyDescent="0.65">
      <c r="A9" s="31">
        <v>8</v>
      </c>
      <c r="B9" s="31">
        <v>42350000</v>
      </c>
      <c r="C9" s="32">
        <v>3.7854079063748665</v>
      </c>
      <c r="D9" s="39">
        <f t="shared" si="0"/>
        <v>5</v>
      </c>
      <c r="E9" s="40">
        <v>5</v>
      </c>
      <c r="F9" s="34">
        <v>0.20600000023841858</v>
      </c>
      <c r="G9" s="41">
        <f t="shared" si="1"/>
        <v>7</v>
      </c>
      <c r="H9" s="32">
        <v>48.122753107100202</v>
      </c>
      <c r="I9" s="41">
        <f t="shared" si="2"/>
        <v>5</v>
      </c>
      <c r="J9" s="39">
        <v>3.4597587072018889</v>
      </c>
      <c r="K9" s="37">
        <f t="shared" si="3"/>
        <v>4.7149396768004728</v>
      </c>
      <c r="L9" s="22">
        <f t="shared" si="4"/>
        <v>2.7149396768004723</v>
      </c>
      <c r="N9" s="22">
        <v>2.7149396768004723</v>
      </c>
      <c r="O9" s="15">
        <f t="shared" si="5"/>
        <v>2</v>
      </c>
    </row>
    <row r="10" spans="1:18" ht="13.25" x14ac:dyDescent="0.65">
      <c r="A10" s="31">
        <v>9</v>
      </c>
      <c r="B10" s="31">
        <v>22362500</v>
      </c>
      <c r="C10" s="32">
        <v>4.0128021621917336</v>
      </c>
      <c r="D10" s="39">
        <f t="shared" si="0"/>
        <v>5</v>
      </c>
      <c r="E10" s="40">
        <v>5</v>
      </c>
      <c r="F10" s="34">
        <v>0.10790000110864639</v>
      </c>
      <c r="G10" s="41">
        <f t="shared" si="1"/>
        <v>5</v>
      </c>
      <c r="H10" s="32">
        <v>47.678158477954554</v>
      </c>
      <c r="I10" s="41">
        <f t="shared" si="2"/>
        <v>5</v>
      </c>
      <c r="J10" s="39">
        <v>3.3991347126757616</v>
      </c>
      <c r="K10" s="37">
        <f t="shared" si="3"/>
        <v>4.5997836781689401</v>
      </c>
      <c r="L10" s="22">
        <f t="shared" si="4"/>
        <v>2.5997836781689405</v>
      </c>
      <c r="N10" s="22">
        <v>2.5997836781689405</v>
      </c>
      <c r="O10" s="15">
        <f t="shared" si="5"/>
        <v>2</v>
      </c>
    </row>
    <row r="11" spans="1:18" ht="13.25" x14ac:dyDescent="0.65">
      <c r="A11" s="31">
        <v>10</v>
      </c>
      <c r="B11" s="31">
        <v>6598906.25</v>
      </c>
      <c r="C11" s="32">
        <v>3.6037091877369423</v>
      </c>
      <c r="D11" s="39">
        <f t="shared" si="0"/>
        <v>5</v>
      </c>
      <c r="E11" s="40">
        <v>5</v>
      </c>
      <c r="F11" s="34">
        <v>2.9400000348687172E-2</v>
      </c>
      <c r="G11" s="41">
        <f t="shared" si="1"/>
        <v>3</v>
      </c>
      <c r="H11" s="32">
        <v>47.989282750444573</v>
      </c>
      <c r="I11" s="41">
        <f t="shared" si="2"/>
        <v>5</v>
      </c>
      <c r="J11" s="39">
        <v>3.6517652073023465</v>
      </c>
      <c r="K11" s="37">
        <f t="shared" si="3"/>
        <v>4.5629413018255871</v>
      </c>
      <c r="L11" s="22">
        <f t="shared" si="4"/>
        <v>2.5629413018255867</v>
      </c>
      <c r="N11" s="22">
        <v>2.5629413018255867</v>
      </c>
      <c r="O11" s="15">
        <f t="shared" si="5"/>
        <v>2</v>
      </c>
    </row>
    <row r="12" spans="1:18" ht="13.25" x14ac:dyDescent="0.65">
      <c r="A12" s="31">
        <v>11</v>
      </c>
      <c r="B12" s="31">
        <v>116406.25</v>
      </c>
      <c r="C12" s="32">
        <v>4.0437984440950743</v>
      </c>
      <c r="D12" s="39">
        <f t="shared" si="0"/>
        <v>5</v>
      </c>
      <c r="E12" s="40">
        <v>5</v>
      </c>
      <c r="F12" s="34">
        <v>3.9999998989515007E-4</v>
      </c>
      <c r="G12" s="41">
        <f t="shared" si="1"/>
        <v>3</v>
      </c>
      <c r="H12" s="32">
        <v>47.436241610738257</v>
      </c>
      <c r="I12" s="41">
        <f t="shared" si="2"/>
        <v>5</v>
      </c>
      <c r="J12" s="39">
        <v>3.9006711409395973</v>
      </c>
      <c r="K12" s="37">
        <f t="shared" si="3"/>
        <v>4.6251677852348987</v>
      </c>
      <c r="L12" s="22">
        <f t="shared" si="4"/>
        <v>2.6251677852348991</v>
      </c>
      <c r="N12" s="22">
        <v>2.6251677852348991</v>
      </c>
      <c r="O12" s="15">
        <f t="shared" si="5"/>
        <v>2</v>
      </c>
    </row>
    <row r="13" spans="1:18" ht="13.25" x14ac:dyDescent="0.65">
      <c r="A13" s="31">
        <v>12</v>
      </c>
      <c r="B13" s="31">
        <v>8072343.75</v>
      </c>
      <c r="C13" s="32">
        <v>3.6453713603503632</v>
      </c>
      <c r="D13" s="39">
        <f t="shared" si="0"/>
        <v>5</v>
      </c>
      <c r="E13" s="40">
        <v>5</v>
      </c>
      <c r="F13" s="34">
        <v>2.8200000524520874E-2</v>
      </c>
      <c r="G13" s="41">
        <f t="shared" si="1"/>
        <v>3</v>
      </c>
      <c r="H13" s="32">
        <v>48.120557761208481</v>
      </c>
      <c r="I13" s="41">
        <f t="shared" si="2"/>
        <v>5</v>
      </c>
      <c r="J13" s="39">
        <v>3.640671273445212</v>
      </c>
      <c r="K13" s="37">
        <f t="shared" si="3"/>
        <v>4.560167818361303</v>
      </c>
      <c r="L13" s="22">
        <f t="shared" si="4"/>
        <v>2.560167818361303</v>
      </c>
      <c r="N13" s="22">
        <v>2.560167818361303</v>
      </c>
      <c r="O13" s="15">
        <f t="shared" si="5"/>
        <v>2</v>
      </c>
    </row>
    <row r="14" spans="1:18" ht="13.25" x14ac:dyDescent="0.65">
      <c r="A14" s="31">
        <v>13</v>
      </c>
      <c r="B14" s="31">
        <v>10966406.25</v>
      </c>
      <c r="C14" s="32">
        <v>3.4960142085548309</v>
      </c>
      <c r="D14" s="39">
        <f t="shared" si="0"/>
        <v>5</v>
      </c>
      <c r="E14" s="40">
        <v>5</v>
      </c>
      <c r="F14" s="34">
        <v>4.9100000411272049E-2</v>
      </c>
      <c r="G14" s="41">
        <f t="shared" si="1"/>
        <v>4</v>
      </c>
      <c r="H14" s="32">
        <v>47.941925514715351</v>
      </c>
      <c r="I14" s="41">
        <f t="shared" si="2"/>
        <v>5</v>
      </c>
      <c r="J14" s="39">
        <v>3.6233525682125811</v>
      </c>
      <c r="K14" s="37">
        <f t="shared" si="3"/>
        <v>4.6058381420531447</v>
      </c>
      <c r="L14" s="22">
        <f t="shared" si="4"/>
        <v>2.6058381420531451</v>
      </c>
      <c r="N14" s="22">
        <v>2.6058381420531451</v>
      </c>
      <c r="O14" s="15">
        <f t="shared" si="5"/>
        <v>2</v>
      </c>
    </row>
    <row r="15" spans="1:18" ht="13.25" x14ac:dyDescent="0.65">
      <c r="A15" s="31">
        <v>14</v>
      </c>
      <c r="B15" s="31">
        <v>7649843.75</v>
      </c>
      <c r="C15" s="32">
        <v>4.0354025537626459</v>
      </c>
      <c r="D15" s="39">
        <f t="shared" si="0"/>
        <v>5</v>
      </c>
      <c r="E15" s="40">
        <v>5</v>
      </c>
      <c r="F15" s="34">
        <v>3.4299999475479126E-2</v>
      </c>
      <c r="G15" s="41">
        <f t="shared" si="1"/>
        <v>3</v>
      </c>
      <c r="H15" s="32">
        <v>47.219936125783072</v>
      </c>
      <c r="I15" s="41">
        <f t="shared" si="2"/>
        <v>5</v>
      </c>
      <c r="J15" s="39">
        <v>3.4049306562634039</v>
      </c>
      <c r="K15" s="37">
        <f t="shared" si="3"/>
        <v>4.5012326640658511</v>
      </c>
      <c r="L15" s="22">
        <f t="shared" si="4"/>
        <v>2.5012326640658511</v>
      </c>
      <c r="N15" s="22">
        <v>2.5012326640658511</v>
      </c>
      <c r="O15" s="15">
        <f t="shared" si="5"/>
        <v>2</v>
      </c>
    </row>
    <row r="16" spans="1:18" ht="13.25" x14ac:dyDescent="0.65">
      <c r="A16" s="31">
        <v>15</v>
      </c>
      <c r="B16" s="31">
        <v>21125937.5</v>
      </c>
      <c r="C16" s="32">
        <v>3.4074058817464281</v>
      </c>
      <c r="D16" s="39">
        <f t="shared" si="0"/>
        <v>5</v>
      </c>
      <c r="E16" s="40">
        <v>7</v>
      </c>
      <c r="F16" s="34">
        <v>0.10300000011920929</v>
      </c>
      <c r="G16" s="41">
        <f t="shared" si="1"/>
        <v>5</v>
      </c>
      <c r="H16" s="32">
        <v>48.262578874352968</v>
      </c>
      <c r="I16" s="41">
        <f t="shared" si="2"/>
        <v>5</v>
      </c>
      <c r="J16" s="39">
        <v>4.0167686631464994</v>
      </c>
      <c r="K16" s="37">
        <f t="shared" si="3"/>
        <v>4.9541921657866252</v>
      </c>
      <c r="L16" s="22">
        <f t="shared" si="4"/>
        <v>2.9541921657866252</v>
      </c>
      <c r="N16" s="22">
        <v>2.9541921657866252</v>
      </c>
      <c r="O16" s="15">
        <f t="shared" si="5"/>
        <v>2</v>
      </c>
    </row>
    <row r="17" spans="1:15" ht="13.25" x14ac:dyDescent="0.65">
      <c r="A17" s="31">
        <v>16</v>
      </c>
      <c r="B17" s="31">
        <v>3790937.5</v>
      </c>
      <c r="C17" s="32">
        <v>4.0944661101507993</v>
      </c>
      <c r="D17" s="39">
        <f t="shared" si="0"/>
        <v>5</v>
      </c>
      <c r="E17" s="40">
        <v>5</v>
      </c>
      <c r="F17" s="34">
        <v>1.4700000174343586E-2</v>
      </c>
      <c r="G17" s="41">
        <f t="shared" si="1"/>
        <v>3</v>
      </c>
      <c r="H17" s="32">
        <v>47.627442090511913</v>
      </c>
      <c r="I17" s="41">
        <f t="shared" si="2"/>
        <v>5</v>
      </c>
      <c r="J17" s="39">
        <v>3.3603577611079052</v>
      </c>
      <c r="K17" s="37">
        <f t="shared" si="3"/>
        <v>4.490089440276976</v>
      </c>
      <c r="L17" s="22">
        <f t="shared" si="4"/>
        <v>2.490089440276976</v>
      </c>
      <c r="N17" s="22">
        <v>2.490089440276976</v>
      </c>
      <c r="O17" s="15">
        <f t="shared" si="5"/>
        <v>2</v>
      </c>
    </row>
    <row r="18" spans="1:15" ht="13.25" x14ac:dyDescent="0.65">
      <c r="A18" s="31">
        <v>17</v>
      </c>
      <c r="B18" s="31">
        <v>13969062.5</v>
      </c>
      <c r="C18" s="32">
        <v>4.0156945623526603</v>
      </c>
      <c r="D18" s="39">
        <f t="shared" si="0"/>
        <v>5</v>
      </c>
      <c r="E18" s="40">
        <v>5</v>
      </c>
      <c r="F18" s="34">
        <v>6.8700000643730164E-2</v>
      </c>
      <c r="G18" s="41">
        <f t="shared" si="1"/>
        <v>4</v>
      </c>
      <c r="H18" s="32">
        <v>48.809978780496017</v>
      </c>
      <c r="I18" s="41">
        <f t="shared" si="2"/>
        <v>5</v>
      </c>
      <c r="J18" s="39">
        <v>3.1850056569869336</v>
      </c>
      <c r="K18" s="37">
        <f t="shared" si="3"/>
        <v>4.4962514142467338</v>
      </c>
      <c r="L18" s="22">
        <f t="shared" si="4"/>
        <v>2.4962514142467334</v>
      </c>
      <c r="N18" s="22">
        <v>2.4962514142467334</v>
      </c>
      <c r="O18" s="15">
        <f t="shared" si="5"/>
        <v>2</v>
      </c>
    </row>
    <row r="19" spans="1:15" ht="13.25" x14ac:dyDescent="0.65">
      <c r="A19" s="31">
        <v>18</v>
      </c>
      <c r="B19" s="31">
        <v>13020312.5</v>
      </c>
      <c r="C19" s="32">
        <v>3.6908833591245336</v>
      </c>
      <c r="D19" s="39">
        <f t="shared" si="0"/>
        <v>5</v>
      </c>
      <c r="E19" s="40">
        <v>5</v>
      </c>
      <c r="F19" s="34">
        <v>6.379999965429306E-2</v>
      </c>
      <c r="G19" s="41">
        <f t="shared" si="1"/>
        <v>4</v>
      </c>
      <c r="H19" s="32">
        <v>48.100030184123149</v>
      </c>
      <c r="I19" s="41">
        <f t="shared" si="2"/>
        <v>5</v>
      </c>
      <c r="J19" s="39">
        <v>3.584759390375615</v>
      </c>
      <c r="K19" s="37">
        <f t="shared" si="3"/>
        <v>4.5961898475939034</v>
      </c>
      <c r="L19" s="22">
        <f t="shared" si="4"/>
        <v>2.5961898475939038</v>
      </c>
      <c r="N19" s="22">
        <v>2.5961898475939038</v>
      </c>
      <c r="O19" s="15">
        <f t="shared" si="5"/>
        <v>2</v>
      </c>
    </row>
    <row r="20" spans="1:15" ht="13.25" x14ac:dyDescent="0.65">
      <c r="A20" s="31">
        <v>19</v>
      </c>
      <c r="B20" s="31">
        <v>16898593.75</v>
      </c>
      <c r="C20" s="32">
        <v>3.8831819247439352</v>
      </c>
      <c r="D20" s="39">
        <f t="shared" si="0"/>
        <v>5</v>
      </c>
      <c r="E20" s="40">
        <v>5</v>
      </c>
      <c r="F20" s="34">
        <v>7.850000262260437E-2</v>
      </c>
      <c r="G20" s="41">
        <f t="shared" si="1"/>
        <v>4</v>
      </c>
      <c r="H20" s="32">
        <v>48.143608807020463</v>
      </c>
      <c r="I20" s="41">
        <f t="shared" si="2"/>
        <v>5</v>
      </c>
      <c r="J20" s="39">
        <v>3.5488622389067137</v>
      </c>
      <c r="K20" s="37">
        <f t="shared" si="3"/>
        <v>4.5872155597266779</v>
      </c>
      <c r="L20" s="22">
        <f t="shared" si="4"/>
        <v>2.5872155597266784</v>
      </c>
      <c r="N20" s="22">
        <v>2.5872155597266784</v>
      </c>
      <c r="O20" s="15">
        <f t="shared" si="5"/>
        <v>2</v>
      </c>
    </row>
    <row r="21" spans="1:15" ht="13.25" x14ac:dyDescent="0.65">
      <c r="A21" s="31">
        <v>20</v>
      </c>
      <c r="B21" s="31">
        <v>8329687.5</v>
      </c>
      <c r="C21" s="32">
        <v>4.0804293064569315</v>
      </c>
      <c r="D21" s="39">
        <f t="shared" si="0"/>
        <v>5</v>
      </c>
      <c r="E21" s="40">
        <v>5</v>
      </c>
      <c r="F21" s="34">
        <v>3.9200000464916229E-2</v>
      </c>
      <c r="G21" s="41">
        <f t="shared" si="1"/>
        <v>3</v>
      </c>
      <c r="H21" s="32">
        <v>48.422566122678674</v>
      </c>
      <c r="I21" s="41">
        <f t="shared" si="2"/>
        <v>5</v>
      </c>
      <c r="J21" s="39">
        <v>3.6608328643781656</v>
      </c>
      <c r="K21" s="37">
        <f t="shared" si="3"/>
        <v>4.5652082160945415</v>
      </c>
      <c r="L21" s="22">
        <f t="shared" si="4"/>
        <v>2.5652082160945415</v>
      </c>
      <c r="N21" s="22">
        <v>2.5652082160945415</v>
      </c>
      <c r="O21" s="15">
        <f t="shared" si="5"/>
        <v>2</v>
      </c>
    </row>
    <row r="22" spans="1:15" ht="13.25" x14ac:dyDescent="0.65">
      <c r="A22" s="31">
        <v>21</v>
      </c>
      <c r="B22" s="31">
        <v>23056093.75</v>
      </c>
      <c r="C22" s="32">
        <v>3.9536471913781672</v>
      </c>
      <c r="D22" s="39">
        <f t="shared" si="0"/>
        <v>5</v>
      </c>
      <c r="E22" s="40">
        <v>5</v>
      </c>
      <c r="F22" s="34">
        <v>0.1128000020980835</v>
      </c>
      <c r="G22" s="41">
        <f t="shared" si="1"/>
        <v>5</v>
      </c>
      <c r="H22" s="32">
        <v>48.354417657045843</v>
      </c>
      <c r="I22" s="41">
        <f t="shared" si="2"/>
        <v>5</v>
      </c>
      <c r="J22" s="39">
        <v>3.3127630303810678</v>
      </c>
      <c r="K22" s="37">
        <f t="shared" si="3"/>
        <v>4.5781907575952667</v>
      </c>
      <c r="L22" s="22">
        <f t="shared" si="4"/>
        <v>2.5781907575952667</v>
      </c>
      <c r="N22" s="22">
        <v>2.5781907575952667</v>
      </c>
      <c r="O22" s="15">
        <f t="shared" si="5"/>
        <v>2</v>
      </c>
    </row>
    <row r="23" spans="1:15" ht="13.25" x14ac:dyDescent="0.65">
      <c r="A23" s="31">
        <v>22</v>
      </c>
      <c r="B23" s="31">
        <v>19797031.25</v>
      </c>
      <c r="C23" s="32">
        <v>3.5546391403831921</v>
      </c>
      <c r="D23" s="39">
        <f t="shared" si="0"/>
        <v>5</v>
      </c>
      <c r="E23" s="40">
        <v>7</v>
      </c>
      <c r="F23" s="34">
        <v>9.8099999129772186E-2</v>
      </c>
      <c r="G23" s="41">
        <f t="shared" si="1"/>
        <v>5</v>
      </c>
      <c r="H23" s="32">
        <v>48.228015249629458</v>
      </c>
      <c r="I23" s="41">
        <f t="shared" si="2"/>
        <v>5</v>
      </c>
      <c r="J23" s="39">
        <v>3.752719481375673</v>
      </c>
      <c r="K23" s="37">
        <f t="shared" si="3"/>
        <v>4.8881798703439188</v>
      </c>
      <c r="L23" s="22">
        <f t="shared" si="4"/>
        <v>2.8881798703439183</v>
      </c>
      <c r="N23" s="22">
        <v>2.8881798703439183</v>
      </c>
      <c r="O23" s="15">
        <f t="shared" si="5"/>
        <v>2</v>
      </c>
    </row>
    <row r="24" spans="1:15" ht="13.25" x14ac:dyDescent="0.65">
      <c r="A24" s="31">
        <v>23</v>
      </c>
      <c r="B24" s="31">
        <v>33476718.75</v>
      </c>
      <c r="C24" s="32">
        <v>4.0208501635666911</v>
      </c>
      <c r="D24" s="39">
        <f t="shared" si="0"/>
        <v>5</v>
      </c>
      <c r="E24" s="40">
        <v>5</v>
      </c>
      <c r="F24" s="34">
        <v>0.16680000722408295</v>
      </c>
      <c r="G24" s="41">
        <f t="shared" si="1"/>
        <v>6</v>
      </c>
      <c r="H24" s="32">
        <v>49.234017873495475</v>
      </c>
      <c r="I24" s="41">
        <f t="shared" si="2"/>
        <v>7</v>
      </c>
      <c r="J24" s="39">
        <v>3.2580852947037209</v>
      </c>
      <c r="K24" s="37">
        <f t="shared" si="3"/>
        <v>5.0145213236759307</v>
      </c>
      <c r="L24" s="22">
        <f t="shared" si="4"/>
        <v>3.0145213236759303</v>
      </c>
      <c r="N24" s="22">
        <v>3.0145213236759303</v>
      </c>
      <c r="O24" s="15">
        <f t="shared" si="5"/>
        <v>2</v>
      </c>
    </row>
    <row r="25" spans="1:15" ht="13.25" x14ac:dyDescent="0.65">
      <c r="A25" s="31">
        <v>24</v>
      </c>
      <c r="B25" s="31">
        <v>39977656.25</v>
      </c>
      <c r="C25" s="32">
        <v>3.6668187192429413</v>
      </c>
      <c r="D25" s="39">
        <f t="shared" si="0"/>
        <v>5</v>
      </c>
      <c r="E25" s="40">
        <v>7</v>
      </c>
      <c r="F25" s="34">
        <v>0.19619999825954437</v>
      </c>
      <c r="G25" s="41">
        <f t="shared" si="1"/>
        <v>6</v>
      </c>
      <c r="H25" s="32">
        <v>47.939007482178276</v>
      </c>
      <c r="I25" s="41">
        <f t="shared" si="2"/>
        <v>5</v>
      </c>
      <c r="J25" s="39">
        <v>3.3312819154530193</v>
      </c>
      <c r="K25" s="37">
        <f t="shared" si="3"/>
        <v>4.8328204788632547</v>
      </c>
      <c r="L25" s="22">
        <f t="shared" si="4"/>
        <v>2.8328204788632547</v>
      </c>
      <c r="N25" s="22">
        <v>2.8328204788632547</v>
      </c>
      <c r="O25" s="15">
        <f t="shared" si="5"/>
        <v>2</v>
      </c>
    </row>
    <row r="26" spans="1:15" ht="13.25" x14ac:dyDescent="0.65">
      <c r="A26" s="31">
        <v>25</v>
      </c>
      <c r="B26" s="31">
        <v>77961250</v>
      </c>
      <c r="C26" s="32">
        <v>3.9659536931300057</v>
      </c>
      <c r="D26" s="39">
        <f t="shared" si="0"/>
        <v>5</v>
      </c>
      <c r="E26" s="40">
        <v>5</v>
      </c>
      <c r="F26" s="34">
        <v>0.38260000944137573</v>
      </c>
      <c r="G26" s="41">
        <f t="shared" si="1"/>
        <v>7</v>
      </c>
      <c r="H26" s="32">
        <v>48.815040381843723</v>
      </c>
      <c r="I26" s="41">
        <f t="shared" si="2"/>
        <v>5</v>
      </c>
      <c r="J26" s="39">
        <v>3.2922785447626968</v>
      </c>
      <c r="K26" s="37">
        <f t="shared" si="3"/>
        <v>4.6730696361906743</v>
      </c>
      <c r="L26" s="22">
        <f t="shared" si="4"/>
        <v>2.6730696361906743</v>
      </c>
      <c r="N26" s="22">
        <v>2.6730696361906743</v>
      </c>
      <c r="O26" s="15">
        <f t="shared" si="5"/>
        <v>2</v>
      </c>
    </row>
    <row r="28" spans="1:15" x14ac:dyDescent="0.6">
      <c r="K28" s="23">
        <f>MIN(K2:K27)</f>
        <v>4.490089440276976</v>
      </c>
    </row>
    <row r="29" spans="1:15" x14ac:dyDescent="0.6">
      <c r="K29" s="23">
        <f>MAX(K2:K26)</f>
        <v>5.3358850928336317</v>
      </c>
    </row>
    <row r="30" spans="1:15" x14ac:dyDescent="0.6">
      <c r="K30" s="23">
        <f>AVERAGE(K2:K26)</f>
        <v>4.7012595374205013</v>
      </c>
    </row>
    <row r="31" spans="1:15" x14ac:dyDescent="0.6">
      <c r="F31" s="17"/>
    </row>
    <row r="32" spans="1:15" x14ac:dyDescent="0.6">
      <c r="F32" s="17"/>
    </row>
    <row r="33" spans="6:6" x14ac:dyDescent="0.6">
      <c r="F33" s="17"/>
    </row>
    <row r="34" spans="6:6" x14ac:dyDescent="0.6">
      <c r="F34" s="17"/>
    </row>
    <row r="35" spans="6:6" x14ac:dyDescent="0.6">
      <c r="F35" s="17"/>
    </row>
    <row r="36" spans="6:6" x14ac:dyDescent="0.6">
      <c r="F36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E24C-E435-40AC-9D5A-8FACA5EBBF78}">
  <dimension ref="A1:AR28"/>
  <sheetViews>
    <sheetView topLeftCell="O1" workbookViewId="0">
      <selection activeCell="X8" sqref="X8"/>
    </sheetView>
  </sheetViews>
  <sheetFormatPr defaultRowHeight="13" x14ac:dyDescent="0.6"/>
  <cols>
    <col min="1" max="1" width="8.2265625" style="45" customWidth="1"/>
    <col min="2" max="2" width="15.54296875" style="45" customWidth="1"/>
    <col min="3" max="3" width="8.04296875" style="45" customWidth="1"/>
    <col min="4" max="4" width="8.7265625" style="45"/>
    <col min="5" max="6" width="11" style="14" customWidth="1"/>
    <col min="7" max="7" width="7.26953125" style="14" bestFit="1" customWidth="1"/>
    <col min="8" max="16" width="8.1796875" style="14" bestFit="1" customWidth="1"/>
    <col min="17" max="17" width="7.26953125" style="14" bestFit="1" customWidth="1"/>
    <col min="18" max="18" width="20.40625" style="14" customWidth="1"/>
    <col min="19" max="21" width="8.7265625" style="14"/>
    <col min="22" max="22" width="28.36328125" style="14" customWidth="1"/>
    <col min="23" max="34" width="4.1796875" style="45" bestFit="1" customWidth="1"/>
    <col min="35" max="39" width="4.1796875" style="14" bestFit="1" customWidth="1"/>
    <col min="40" max="40" width="8.1328125" style="14" bestFit="1" customWidth="1"/>
    <col min="41" max="41" width="4.1796875" style="14" bestFit="1" customWidth="1"/>
    <col min="42" max="42" width="4.76953125" style="14" bestFit="1" customWidth="1"/>
    <col min="43" max="44" width="4.1796875" style="14" bestFit="1" customWidth="1"/>
    <col min="45" max="16384" width="8.7265625" style="14"/>
  </cols>
  <sheetData>
    <row r="1" spans="1:44" ht="28.5" x14ac:dyDescent="0.6">
      <c r="A1" s="43" t="s">
        <v>59</v>
      </c>
      <c r="B1" s="43" t="s">
        <v>60</v>
      </c>
      <c r="C1" s="43" t="s">
        <v>70</v>
      </c>
      <c r="D1" s="44" t="s">
        <v>62</v>
      </c>
      <c r="E1" s="43" t="s">
        <v>63</v>
      </c>
      <c r="F1" s="43" t="s">
        <v>65</v>
      </c>
      <c r="G1" s="43" t="s">
        <v>82</v>
      </c>
      <c r="H1" s="43" t="s">
        <v>83</v>
      </c>
      <c r="I1" s="43" t="s">
        <v>84</v>
      </c>
      <c r="J1" s="43" t="s">
        <v>85</v>
      </c>
      <c r="K1" s="43" t="s">
        <v>86</v>
      </c>
      <c r="L1" s="43" t="s">
        <v>87</v>
      </c>
      <c r="M1" s="43" t="s">
        <v>88</v>
      </c>
      <c r="N1" s="43" t="s">
        <v>89</v>
      </c>
      <c r="O1" s="43" t="s">
        <v>90</v>
      </c>
      <c r="P1" s="43" t="s">
        <v>91</v>
      </c>
      <c r="Q1" s="43" t="s">
        <v>92</v>
      </c>
      <c r="R1" s="70" t="s">
        <v>78</v>
      </c>
      <c r="S1" s="70"/>
      <c r="T1" s="48" t="s">
        <v>71</v>
      </c>
      <c r="U1" s="48" t="s">
        <v>64</v>
      </c>
      <c r="V1" s="47"/>
      <c r="W1" s="72">
        <v>0.9</v>
      </c>
      <c r="X1" s="71"/>
      <c r="Y1" s="71">
        <v>0.92</v>
      </c>
      <c r="Z1" s="71"/>
      <c r="AA1" s="71">
        <v>0.94</v>
      </c>
      <c r="AB1" s="71"/>
      <c r="AC1" s="71">
        <v>0.96</v>
      </c>
      <c r="AD1" s="71"/>
      <c r="AE1" s="71">
        <v>0.98</v>
      </c>
      <c r="AF1" s="71"/>
      <c r="AG1" s="71">
        <v>1</v>
      </c>
      <c r="AH1" s="71"/>
      <c r="AI1" s="71">
        <v>1</v>
      </c>
      <c r="AJ1" s="71"/>
      <c r="AK1" s="71">
        <v>1</v>
      </c>
      <c r="AL1" s="71"/>
      <c r="AM1" s="71">
        <v>1</v>
      </c>
      <c r="AN1" s="71"/>
      <c r="AO1" s="71">
        <v>1</v>
      </c>
      <c r="AP1" s="71"/>
      <c r="AQ1" s="71">
        <v>1</v>
      </c>
      <c r="AR1" s="71"/>
    </row>
    <row r="2" spans="1:44" ht="13.5" x14ac:dyDescent="0.65">
      <c r="A2" s="31">
        <v>5</v>
      </c>
      <c r="B2" s="33">
        <v>5</v>
      </c>
      <c r="C2" s="36">
        <v>3</v>
      </c>
      <c r="D2" s="36">
        <v>5</v>
      </c>
      <c r="E2" s="31">
        <v>3.6365658362989324</v>
      </c>
      <c r="F2" s="32">
        <f t="shared" ref="F2:F26" si="0">A2*T$12+B2*U$8+C2*U$9+D2*U$10+E2*U$11</f>
        <v>4.5591414590747332</v>
      </c>
      <c r="G2" s="34">
        <f t="shared" ref="G2:G26" si="1">$A2*W$12+$B2*X$8+$C2*X$9+$D2*X$10+$E2*X$11</f>
        <v>4.5591414590747332</v>
      </c>
      <c r="H2" s="34">
        <f t="shared" ref="H2:H26" si="2">$A2*Y$12+$B2*Z$8+$C2*Z$9+$D2*Z$10+$E2*Z$11</f>
        <v>4.5591414590747332</v>
      </c>
      <c r="I2" s="34">
        <f t="shared" ref="I2:I26" si="3">$A2*AA$12+$B2*AB$8+$C2*AB$9+$D2*AB$10+$E2*AB$11</f>
        <v>4.5591414590747332</v>
      </c>
      <c r="J2" s="34">
        <f t="shared" ref="J2:J26" si="4">$A2*AC$12+$B2*AD$8+$C2*AD$9+$D2*AD$10+$E2*AD$11</f>
        <v>4.5591414590747332</v>
      </c>
      <c r="K2" s="34">
        <f t="shared" ref="K2:K26" si="5">$A2*AE$12+$B2*AF$8+$C2*AF$9+$D2*AF$10+$E2*AF$11</f>
        <v>4.5591414590747332</v>
      </c>
      <c r="L2" s="34">
        <f t="shared" ref="L2:L26" si="6">$A2*AG$12+$B2*AH$8+$C2*AH$9+$D2*AH$10+$E2*AH$11</f>
        <v>4.5591414590747332</v>
      </c>
      <c r="M2" s="34">
        <f t="shared" ref="M2:M26" si="7">$A2*AI$12+$B2*AJ$8+$C2*AJ$9+$D2*AJ$10+$E2*AJ$11</f>
        <v>4.5591414590747332</v>
      </c>
      <c r="N2" s="34">
        <f t="shared" ref="N2:N26" si="8">$A2*AK$12+$B2*AL$8+$C2*AL$9+$D2*AL$10+$E2*AL$11</f>
        <v>4.5591414590747332</v>
      </c>
      <c r="O2" s="34">
        <f t="shared" ref="O2:O26" si="9">$A2*AM$12+$B2*AN$8+$C2*AN$9+$D2*AN$10+$E2*AN$11</f>
        <v>4.5591414590747332</v>
      </c>
      <c r="P2" s="34">
        <f t="shared" ref="P2:P26" si="10">$A2*AO$12+$B2*AP$8+$C2*AP$9+$D2*AP$10+$E2*AP$11</f>
        <v>4.5591414590747332</v>
      </c>
      <c r="Q2" s="34">
        <f t="shared" ref="Q2:Q26" si="11">$A2*AQ$12+$B2*AR$8+$C2*AR$9+$D2*AR$10+$E2*AR$11</f>
        <v>4.5591414590747332</v>
      </c>
      <c r="R2" s="70"/>
      <c r="S2" s="70"/>
      <c r="T2" s="47">
        <v>0.4</v>
      </c>
      <c r="U2" s="47">
        <v>0.6</v>
      </c>
      <c r="V2" s="47"/>
      <c r="W2" s="54">
        <f>$T2*0.9</f>
        <v>0.36000000000000004</v>
      </c>
      <c r="X2" s="54">
        <f>1-W2</f>
        <v>0.6399999999999999</v>
      </c>
      <c r="Y2" s="54">
        <f>$T2*0.92</f>
        <v>0.36800000000000005</v>
      </c>
      <c r="Z2" s="54">
        <f>1-Y2</f>
        <v>0.6319999999999999</v>
      </c>
      <c r="AA2" s="54">
        <f>$T2*0.94</f>
        <v>0.376</v>
      </c>
      <c r="AB2" s="54">
        <f>1-AA2</f>
        <v>0.624</v>
      </c>
      <c r="AC2" s="54">
        <f>$T2*0.96</f>
        <v>0.38400000000000001</v>
      </c>
      <c r="AD2" s="54">
        <f>1-AC2</f>
        <v>0.61599999999999999</v>
      </c>
      <c r="AE2" s="54">
        <f>$T2*0.98</f>
        <v>0.39200000000000002</v>
      </c>
      <c r="AF2" s="54">
        <f>1-AE2</f>
        <v>0.60799999999999998</v>
      </c>
      <c r="AG2" s="54">
        <f>$T2*1</f>
        <v>0.4</v>
      </c>
      <c r="AH2" s="54">
        <f>1-AG2</f>
        <v>0.6</v>
      </c>
      <c r="AI2" s="54">
        <f>$T2*1.02</f>
        <v>0.40800000000000003</v>
      </c>
      <c r="AJ2" s="54">
        <f>1-AI2</f>
        <v>0.59199999999999997</v>
      </c>
      <c r="AK2" s="54">
        <f>$T2*1.04</f>
        <v>0.41600000000000004</v>
      </c>
      <c r="AL2" s="54">
        <f>1-AK2</f>
        <v>0.58399999999999996</v>
      </c>
      <c r="AM2" s="54">
        <f>$T2*1.06</f>
        <v>0.42400000000000004</v>
      </c>
      <c r="AN2" s="54">
        <f>1-AM2</f>
        <v>0.57599999999999996</v>
      </c>
      <c r="AO2" s="54">
        <f>$T2*1.08</f>
        <v>0.43200000000000005</v>
      </c>
      <c r="AP2" s="54">
        <f>1-AO2</f>
        <v>0.56799999999999995</v>
      </c>
      <c r="AQ2" s="54">
        <f>$T2*1.1</f>
        <v>0.44000000000000006</v>
      </c>
      <c r="AR2" s="54">
        <f>1-AQ2</f>
        <v>0.55999999999999994</v>
      </c>
    </row>
    <row r="3" spans="1:44" ht="13.5" x14ac:dyDescent="0.65">
      <c r="A3" s="31">
        <v>6</v>
      </c>
      <c r="B3" s="33">
        <v>7</v>
      </c>
      <c r="C3" s="36">
        <v>5</v>
      </c>
      <c r="D3" s="36">
        <v>5</v>
      </c>
      <c r="E3" s="31">
        <v>3.5541009969031303</v>
      </c>
      <c r="F3" s="32">
        <f t="shared" si="0"/>
        <v>5.2385252492257832</v>
      </c>
      <c r="G3" s="34">
        <f t="shared" si="1"/>
        <v>5.2785252492257824</v>
      </c>
      <c r="H3" s="34">
        <f t="shared" si="2"/>
        <v>5.2705252492257824</v>
      </c>
      <c r="I3" s="34">
        <f t="shared" si="3"/>
        <v>5.2625252492257832</v>
      </c>
      <c r="J3" s="34">
        <f t="shared" si="4"/>
        <v>5.2545252492257823</v>
      </c>
      <c r="K3" s="34">
        <f t="shared" si="5"/>
        <v>5.2465252492257832</v>
      </c>
      <c r="L3" s="34">
        <f t="shared" si="6"/>
        <v>5.2385252492257823</v>
      </c>
      <c r="M3" s="34">
        <f t="shared" si="7"/>
        <v>5.2305252492257832</v>
      </c>
      <c r="N3" s="34">
        <f t="shared" si="8"/>
        <v>5.2225252492257823</v>
      </c>
      <c r="O3" s="34">
        <f t="shared" si="9"/>
        <v>5.2145252492257832</v>
      </c>
      <c r="P3" s="34">
        <f t="shared" si="10"/>
        <v>5.2065252492257823</v>
      </c>
      <c r="Q3" s="34">
        <f t="shared" si="11"/>
        <v>5.1985252492257832</v>
      </c>
      <c r="R3" s="70" t="s">
        <v>79</v>
      </c>
      <c r="S3" s="47" t="s">
        <v>72</v>
      </c>
      <c r="T3" s="49">
        <v>0.5</v>
      </c>
      <c r="U3" s="49">
        <f>U8/U$2</f>
        <v>0.16666666666666669</v>
      </c>
      <c r="V3" s="50" t="s">
        <v>75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15.5" x14ac:dyDescent="0.65">
      <c r="A4" s="31">
        <v>5</v>
      </c>
      <c r="B4" s="33">
        <v>7</v>
      </c>
      <c r="C4" s="36">
        <v>3</v>
      </c>
      <c r="D4" s="36">
        <v>5</v>
      </c>
      <c r="E4" s="31">
        <v>3.4015731515469323</v>
      </c>
      <c r="F4" s="32">
        <f t="shared" si="0"/>
        <v>4.7003932878867332</v>
      </c>
      <c r="G4" s="34">
        <f t="shared" si="1"/>
        <v>4.7803932878867323</v>
      </c>
      <c r="H4" s="34">
        <f t="shared" si="2"/>
        <v>4.7643932878867323</v>
      </c>
      <c r="I4" s="34">
        <f t="shared" si="3"/>
        <v>4.7483932878867332</v>
      </c>
      <c r="J4" s="34">
        <f t="shared" si="4"/>
        <v>4.7323932878867332</v>
      </c>
      <c r="K4" s="34">
        <f t="shared" si="5"/>
        <v>4.7163932878867332</v>
      </c>
      <c r="L4" s="34">
        <f t="shared" si="6"/>
        <v>4.7003932878867332</v>
      </c>
      <c r="M4" s="34">
        <f t="shared" si="7"/>
        <v>4.6843932878867331</v>
      </c>
      <c r="N4" s="34">
        <f t="shared" si="8"/>
        <v>4.6683932878867331</v>
      </c>
      <c r="O4" s="34">
        <f t="shared" si="9"/>
        <v>4.6523932878867331</v>
      </c>
      <c r="P4" s="34">
        <f t="shared" si="10"/>
        <v>4.6363932878867331</v>
      </c>
      <c r="Q4" s="34">
        <f t="shared" si="11"/>
        <v>4.6203932878867331</v>
      </c>
      <c r="R4" s="70"/>
      <c r="S4" s="47" t="s">
        <v>73</v>
      </c>
      <c r="T4" s="49">
        <v>0.39</v>
      </c>
      <c r="U4" s="49">
        <f t="shared" ref="U4:U6" si="12">U9/U$2</f>
        <v>8.3333333333333343E-2</v>
      </c>
      <c r="V4" s="50" t="s">
        <v>81</v>
      </c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</row>
    <row r="5" spans="1:44" ht="13.5" x14ac:dyDescent="0.65">
      <c r="A5" s="31">
        <v>5</v>
      </c>
      <c r="B5" s="33">
        <v>5</v>
      </c>
      <c r="C5" s="36">
        <v>7</v>
      </c>
      <c r="D5" s="36">
        <v>5</v>
      </c>
      <c r="E5" s="31">
        <v>3.4681211898117019</v>
      </c>
      <c r="F5" s="32">
        <f t="shared" si="0"/>
        <v>4.7170302974529257</v>
      </c>
      <c r="G5" s="34">
        <f t="shared" si="1"/>
        <v>4.7170302974529257</v>
      </c>
      <c r="H5" s="34">
        <f t="shared" si="2"/>
        <v>4.7170302974529257</v>
      </c>
      <c r="I5" s="34">
        <f t="shared" si="3"/>
        <v>4.7170302974529257</v>
      </c>
      <c r="J5" s="34">
        <f t="shared" si="4"/>
        <v>4.7170302974529257</v>
      </c>
      <c r="K5" s="34">
        <f t="shared" si="5"/>
        <v>4.7170302974529257</v>
      </c>
      <c r="L5" s="34">
        <f t="shared" si="6"/>
        <v>4.7170302974529257</v>
      </c>
      <c r="M5" s="34">
        <f t="shared" si="7"/>
        <v>4.7170302974529257</v>
      </c>
      <c r="N5" s="34">
        <f t="shared" si="8"/>
        <v>4.7170302974529257</v>
      </c>
      <c r="O5" s="34">
        <f t="shared" si="9"/>
        <v>4.7170302974529257</v>
      </c>
      <c r="P5" s="34">
        <f t="shared" si="10"/>
        <v>4.7170302974529257</v>
      </c>
      <c r="Q5" s="34">
        <f t="shared" si="11"/>
        <v>4.7170302974529257</v>
      </c>
      <c r="R5" s="70"/>
      <c r="S5" s="47" t="s">
        <v>74</v>
      </c>
      <c r="T5" s="49">
        <v>0.11</v>
      </c>
      <c r="U5" s="49">
        <f t="shared" si="12"/>
        <v>0.33333333333333337</v>
      </c>
      <c r="V5" s="50" t="s">
        <v>76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13.5" x14ac:dyDescent="0.65">
      <c r="A6" s="31">
        <v>5</v>
      </c>
      <c r="B6" s="33">
        <v>5</v>
      </c>
      <c r="C6" s="36">
        <v>5</v>
      </c>
      <c r="D6" s="36">
        <v>5</v>
      </c>
      <c r="E6" s="31">
        <v>3.3716366700776499</v>
      </c>
      <c r="F6" s="32">
        <f t="shared" si="0"/>
        <v>4.5929091675194123</v>
      </c>
      <c r="G6" s="34">
        <f t="shared" si="1"/>
        <v>4.5929091675194123</v>
      </c>
      <c r="H6" s="34">
        <f t="shared" si="2"/>
        <v>4.5929091675194123</v>
      </c>
      <c r="I6" s="34">
        <f t="shared" si="3"/>
        <v>4.5929091675194123</v>
      </c>
      <c r="J6" s="34">
        <f t="shared" si="4"/>
        <v>4.5929091675194123</v>
      </c>
      <c r="K6" s="34">
        <f t="shared" si="5"/>
        <v>4.5929091675194123</v>
      </c>
      <c r="L6" s="34">
        <f t="shared" si="6"/>
        <v>4.5929091675194123</v>
      </c>
      <c r="M6" s="34">
        <f t="shared" si="7"/>
        <v>4.5929091675194123</v>
      </c>
      <c r="N6" s="34">
        <f t="shared" si="8"/>
        <v>4.5929091675194123</v>
      </c>
      <c r="O6" s="34">
        <f t="shared" si="9"/>
        <v>4.5929091675194123</v>
      </c>
      <c r="P6" s="34">
        <f t="shared" si="10"/>
        <v>4.5929091675194123</v>
      </c>
      <c r="Q6" s="34">
        <f t="shared" si="11"/>
        <v>4.5929091675194123</v>
      </c>
      <c r="R6" s="70"/>
      <c r="S6" s="47"/>
      <c r="T6" s="49"/>
      <c r="U6" s="49">
        <f t="shared" si="12"/>
        <v>0.41666666666666669</v>
      </c>
      <c r="V6" s="50" t="s">
        <v>77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</row>
    <row r="7" spans="1:44" ht="13.5" x14ac:dyDescent="0.65">
      <c r="A7" s="31">
        <v>5</v>
      </c>
      <c r="B7" s="33">
        <v>5</v>
      </c>
      <c r="C7" s="36">
        <v>4</v>
      </c>
      <c r="D7" s="36">
        <v>5</v>
      </c>
      <c r="E7" s="31">
        <v>3.3664164184585252</v>
      </c>
      <c r="F7" s="32">
        <f t="shared" si="0"/>
        <v>4.5416041046146312</v>
      </c>
      <c r="G7" s="34">
        <f t="shared" si="1"/>
        <v>4.5416041046146312</v>
      </c>
      <c r="H7" s="34">
        <f t="shared" si="2"/>
        <v>4.5416041046146312</v>
      </c>
      <c r="I7" s="34">
        <f t="shared" si="3"/>
        <v>4.5416041046146312</v>
      </c>
      <c r="J7" s="34">
        <f t="shared" si="4"/>
        <v>4.5416041046146312</v>
      </c>
      <c r="K7" s="34">
        <f t="shared" si="5"/>
        <v>4.5416041046146312</v>
      </c>
      <c r="L7" s="34">
        <f t="shared" si="6"/>
        <v>4.5416041046146312</v>
      </c>
      <c r="M7" s="34">
        <f t="shared" si="7"/>
        <v>4.5416041046146312</v>
      </c>
      <c r="N7" s="34">
        <f t="shared" si="8"/>
        <v>4.5416041046146312</v>
      </c>
      <c r="O7" s="34">
        <f t="shared" si="9"/>
        <v>4.5416041046146312</v>
      </c>
      <c r="P7" s="34">
        <f t="shared" si="10"/>
        <v>4.5416041046146312</v>
      </c>
      <c r="Q7" s="34">
        <f t="shared" si="11"/>
        <v>4.5416041046146312</v>
      </c>
      <c r="R7" s="70"/>
      <c r="S7" s="51" t="s">
        <v>56</v>
      </c>
      <c r="T7" s="52">
        <f>SUM(T3:T5)</f>
        <v>1</v>
      </c>
      <c r="U7" s="52">
        <f>SUM(U3:U6)</f>
        <v>1</v>
      </c>
      <c r="V7" s="50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</row>
    <row r="8" spans="1:44" ht="13.5" x14ac:dyDescent="0.65">
      <c r="A8" s="31">
        <v>6</v>
      </c>
      <c r="B8" s="33">
        <v>7</v>
      </c>
      <c r="C8" s="36">
        <v>6</v>
      </c>
      <c r="D8" s="36">
        <v>5</v>
      </c>
      <c r="E8" s="31">
        <v>3.7435403713345239</v>
      </c>
      <c r="F8" s="32">
        <f t="shared" si="0"/>
        <v>5.3358850928336317</v>
      </c>
      <c r="G8" s="34">
        <f t="shared" si="1"/>
        <v>5.3758850928336308</v>
      </c>
      <c r="H8" s="34">
        <f t="shared" si="2"/>
        <v>5.3678850928336308</v>
      </c>
      <c r="I8" s="34">
        <f t="shared" si="3"/>
        <v>5.3598850928336317</v>
      </c>
      <c r="J8" s="34">
        <f t="shared" si="4"/>
        <v>5.3518850928336317</v>
      </c>
      <c r="K8" s="34">
        <f t="shared" si="5"/>
        <v>5.3438850928336317</v>
      </c>
      <c r="L8" s="34">
        <f t="shared" si="6"/>
        <v>5.3358850928336317</v>
      </c>
      <c r="M8" s="34">
        <f t="shared" si="7"/>
        <v>5.3278850928336317</v>
      </c>
      <c r="N8" s="34">
        <f t="shared" si="8"/>
        <v>5.3198850928336316</v>
      </c>
      <c r="O8" s="34">
        <f t="shared" si="9"/>
        <v>5.3118850928336316</v>
      </c>
      <c r="P8" s="34">
        <f t="shared" si="10"/>
        <v>5.3038850928336316</v>
      </c>
      <c r="Q8" s="34">
        <f t="shared" si="11"/>
        <v>5.2958850928336316</v>
      </c>
      <c r="R8" s="70" t="s">
        <v>80</v>
      </c>
      <c r="S8" s="47" t="s">
        <v>72</v>
      </c>
      <c r="T8" s="49">
        <f>T3*T$2</f>
        <v>0.2</v>
      </c>
      <c r="U8" s="53">
        <v>0.1</v>
      </c>
      <c r="V8" s="50" t="s">
        <v>75</v>
      </c>
      <c r="W8" s="54"/>
      <c r="X8" s="54">
        <f>$U8+X2-$U2</f>
        <v>0.1399999999999999</v>
      </c>
      <c r="Y8" s="54"/>
      <c r="Z8" s="54">
        <f>$U8+Z2-$U2</f>
        <v>0.1319999999999999</v>
      </c>
      <c r="AA8" s="54"/>
      <c r="AB8" s="54">
        <f>$U8+AB2-$U2</f>
        <v>0.124</v>
      </c>
      <c r="AC8" s="54"/>
      <c r="AD8" s="54">
        <f>$U8+AD2-$U2</f>
        <v>0.11599999999999999</v>
      </c>
      <c r="AE8" s="54"/>
      <c r="AF8" s="54">
        <f>$U8+AF2-$U2</f>
        <v>0.10799999999999998</v>
      </c>
      <c r="AG8" s="54"/>
      <c r="AH8" s="54">
        <f>$U8+AH2-$U2</f>
        <v>9.9999999999999978E-2</v>
      </c>
      <c r="AI8" s="54"/>
      <c r="AJ8" s="54">
        <f>$U8+AJ2-$U2</f>
        <v>9.1999999999999971E-2</v>
      </c>
      <c r="AK8" s="54"/>
      <c r="AL8" s="54">
        <f>$U8+AL2-$U2</f>
        <v>8.3999999999999964E-2</v>
      </c>
      <c r="AM8" s="54"/>
      <c r="AN8" s="54">
        <f>$U8+AN2-$U2</f>
        <v>7.5999999999999956E-2</v>
      </c>
      <c r="AO8" s="54"/>
      <c r="AP8" s="54">
        <f>$U8+AP2-$U2</f>
        <v>6.7999999999999949E-2</v>
      </c>
      <c r="AQ8" s="54"/>
      <c r="AR8" s="54">
        <f>$U8+AR2-$U2</f>
        <v>5.9999999999999942E-2</v>
      </c>
    </row>
    <row r="9" spans="1:44" ht="15.5" x14ac:dyDescent="0.65">
      <c r="A9" s="31">
        <v>5</v>
      </c>
      <c r="B9" s="33">
        <v>5</v>
      </c>
      <c r="C9" s="36">
        <v>7</v>
      </c>
      <c r="D9" s="36">
        <v>5</v>
      </c>
      <c r="E9" s="31">
        <v>3.4597587072018889</v>
      </c>
      <c r="F9" s="32">
        <f t="shared" si="0"/>
        <v>4.7149396768004728</v>
      </c>
      <c r="G9" s="34">
        <f t="shared" si="1"/>
        <v>4.7149396768004728</v>
      </c>
      <c r="H9" s="34">
        <f t="shared" si="2"/>
        <v>4.7149396768004728</v>
      </c>
      <c r="I9" s="34">
        <f t="shared" si="3"/>
        <v>4.7149396768004728</v>
      </c>
      <c r="J9" s="34">
        <f t="shared" si="4"/>
        <v>4.7149396768004728</v>
      </c>
      <c r="K9" s="34">
        <f t="shared" si="5"/>
        <v>4.7149396768004728</v>
      </c>
      <c r="L9" s="34">
        <f t="shared" si="6"/>
        <v>4.7149396768004728</v>
      </c>
      <c r="M9" s="34">
        <f t="shared" si="7"/>
        <v>4.7149396768004728</v>
      </c>
      <c r="N9" s="34">
        <f t="shared" si="8"/>
        <v>4.7149396768004728</v>
      </c>
      <c r="O9" s="34">
        <f t="shared" si="9"/>
        <v>4.7149396768004728</v>
      </c>
      <c r="P9" s="34">
        <f t="shared" si="10"/>
        <v>4.7149396768004728</v>
      </c>
      <c r="Q9" s="34">
        <f t="shared" si="11"/>
        <v>4.7149396768004728</v>
      </c>
      <c r="R9" s="70"/>
      <c r="S9" s="47" t="s">
        <v>73</v>
      </c>
      <c r="T9" s="49">
        <f t="shared" ref="T9:T10" si="13">T4*T$2</f>
        <v>0.15600000000000003</v>
      </c>
      <c r="U9" s="53">
        <v>0.05</v>
      </c>
      <c r="V9" s="50" t="s">
        <v>81</v>
      </c>
      <c r="W9" s="54"/>
      <c r="X9" s="54">
        <f>$U9</f>
        <v>0.05</v>
      </c>
      <c r="Y9" s="54"/>
      <c r="Z9" s="54">
        <f>$U9</f>
        <v>0.05</v>
      </c>
      <c r="AA9" s="54"/>
      <c r="AB9" s="54">
        <f>$U9</f>
        <v>0.05</v>
      </c>
      <c r="AC9" s="54"/>
      <c r="AD9" s="54">
        <f>$U9</f>
        <v>0.05</v>
      </c>
      <c r="AE9" s="54"/>
      <c r="AF9" s="54">
        <f>$U9</f>
        <v>0.05</v>
      </c>
      <c r="AG9" s="54"/>
      <c r="AH9" s="54">
        <f>$U9</f>
        <v>0.05</v>
      </c>
      <c r="AI9" s="54"/>
      <c r="AJ9" s="54">
        <f>$U9</f>
        <v>0.05</v>
      </c>
      <c r="AK9" s="54"/>
      <c r="AL9" s="54">
        <f>$U9</f>
        <v>0.05</v>
      </c>
      <c r="AM9" s="54"/>
      <c r="AN9" s="54">
        <f>$U9</f>
        <v>0.05</v>
      </c>
      <c r="AO9" s="54"/>
      <c r="AP9" s="54">
        <f>$U9</f>
        <v>0.05</v>
      </c>
      <c r="AQ9" s="54"/>
      <c r="AR9" s="54">
        <f>$U9</f>
        <v>0.05</v>
      </c>
    </row>
    <row r="10" spans="1:44" ht="13.5" x14ac:dyDescent="0.65">
      <c r="A10" s="31">
        <v>5</v>
      </c>
      <c r="B10" s="33">
        <v>5</v>
      </c>
      <c r="C10" s="36">
        <v>5</v>
      </c>
      <c r="D10" s="36">
        <v>5</v>
      </c>
      <c r="E10" s="31">
        <v>3.3991347126757616</v>
      </c>
      <c r="F10" s="32">
        <f t="shared" si="0"/>
        <v>4.5997836781689401</v>
      </c>
      <c r="G10" s="34">
        <f t="shared" si="1"/>
        <v>4.5997836781689401</v>
      </c>
      <c r="H10" s="34">
        <f t="shared" si="2"/>
        <v>4.5997836781689401</v>
      </c>
      <c r="I10" s="34">
        <f t="shared" si="3"/>
        <v>4.5997836781689401</v>
      </c>
      <c r="J10" s="34">
        <f t="shared" si="4"/>
        <v>4.5997836781689401</v>
      </c>
      <c r="K10" s="34">
        <f t="shared" si="5"/>
        <v>4.5997836781689401</v>
      </c>
      <c r="L10" s="34">
        <f t="shared" si="6"/>
        <v>4.5997836781689401</v>
      </c>
      <c r="M10" s="34">
        <f t="shared" si="7"/>
        <v>4.5997836781689401</v>
      </c>
      <c r="N10" s="34">
        <f t="shared" si="8"/>
        <v>4.5997836781689401</v>
      </c>
      <c r="O10" s="34">
        <f t="shared" si="9"/>
        <v>4.5997836781689401</v>
      </c>
      <c r="P10" s="34">
        <f t="shared" si="10"/>
        <v>4.5997836781689401</v>
      </c>
      <c r="Q10" s="34">
        <f t="shared" si="11"/>
        <v>4.5997836781689401</v>
      </c>
      <c r="R10" s="70"/>
      <c r="S10" s="47" t="s">
        <v>74</v>
      </c>
      <c r="T10" s="49">
        <f t="shared" si="13"/>
        <v>4.4000000000000004E-2</v>
      </c>
      <c r="U10" s="53">
        <v>0.2</v>
      </c>
      <c r="V10" s="50" t="s">
        <v>76</v>
      </c>
      <c r="W10" s="54"/>
      <c r="X10" s="54">
        <f>$U10</f>
        <v>0.2</v>
      </c>
      <c r="Y10" s="54"/>
      <c r="Z10" s="54">
        <f>$U10</f>
        <v>0.2</v>
      </c>
      <c r="AA10" s="54"/>
      <c r="AB10" s="54">
        <f>$U10</f>
        <v>0.2</v>
      </c>
      <c r="AC10" s="54"/>
      <c r="AD10" s="54">
        <f>$U10</f>
        <v>0.2</v>
      </c>
      <c r="AE10" s="54"/>
      <c r="AF10" s="54">
        <f>$U10</f>
        <v>0.2</v>
      </c>
      <c r="AG10" s="54"/>
      <c r="AH10" s="54">
        <f>$U10</f>
        <v>0.2</v>
      </c>
      <c r="AI10" s="54"/>
      <c r="AJ10" s="54">
        <f>$U10</f>
        <v>0.2</v>
      </c>
      <c r="AK10" s="54"/>
      <c r="AL10" s="54">
        <f>$U10</f>
        <v>0.2</v>
      </c>
      <c r="AM10" s="54"/>
      <c r="AN10" s="54">
        <f>$U10</f>
        <v>0.2</v>
      </c>
      <c r="AO10" s="54"/>
      <c r="AP10" s="54">
        <f>$U10</f>
        <v>0.2</v>
      </c>
      <c r="AQ10" s="54"/>
      <c r="AR10" s="54">
        <f>$U10</f>
        <v>0.2</v>
      </c>
    </row>
    <row r="11" spans="1:44" ht="13.5" x14ac:dyDescent="0.65">
      <c r="A11" s="31">
        <v>5</v>
      </c>
      <c r="B11" s="33">
        <v>5</v>
      </c>
      <c r="C11" s="36">
        <v>3</v>
      </c>
      <c r="D11" s="36">
        <v>5</v>
      </c>
      <c r="E11" s="31">
        <v>3.6517652073023465</v>
      </c>
      <c r="F11" s="32">
        <f t="shared" si="0"/>
        <v>4.5629413018255862</v>
      </c>
      <c r="G11" s="34">
        <f t="shared" si="1"/>
        <v>4.5629413018255862</v>
      </c>
      <c r="H11" s="34">
        <f t="shared" si="2"/>
        <v>4.5629413018255862</v>
      </c>
      <c r="I11" s="34">
        <f t="shared" si="3"/>
        <v>4.5629413018255862</v>
      </c>
      <c r="J11" s="34">
        <f t="shared" si="4"/>
        <v>4.5629413018255862</v>
      </c>
      <c r="K11" s="34">
        <f t="shared" si="5"/>
        <v>4.5629413018255862</v>
      </c>
      <c r="L11" s="34">
        <f t="shared" si="6"/>
        <v>4.5629413018255862</v>
      </c>
      <c r="M11" s="34">
        <f t="shared" si="7"/>
        <v>4.5629413018255862</v>
      </c>
      <c r="N11" s="34">
        <f t="shared" si="8"/>
        <v>4.5629413018255862</v>
      </c>
      <c r="O11" s="34">
        <f t="shared" si="9"/>
        <v>4.5629413018255862</v>
      </c>
      <c r="P11" s="34">
        <f t="shared" si="10"/>
        <v>4.5629413018255862</v>
      </c>
      <c r="Q11" s="34">
        <f t="shared" si="11"/>
        <v>4.5629413018255862</v>
      </c>
      <c r="R11" s="70"/>
      <c r="S11" s="47"/>
      <c r="T11" s="49"/>
      <c r="U11" s="53">
        <v>0.25</v>
      </c>
      <c r="V11" s="50" t="s">
        <v>77</v>
      </c>
      <c r="W11" s="54"/>
      <c r="X11" s="54">
        <f>$U11</f>
        <v>0.25</v>
      </c>
      <c r="Y11" s="54"/>
      <c r="Z11" s="54">
        <f>$U11</f>
        <v>0.25</v>
      </c>
      <c r="AA11" s="54"/>
      <c r="AB11" s="54">
        <f>$U11</f>
        <v>0.25</v>
      </c>
      <c r="AC11" s="54"/>
      <c r="AD11" s="54">
        <f>$U11</f>
        <v>0.25</v>
      </c>
      <c r="AE11" s="54"/>
      <c r="AF11" s="54">
        <f>$U11</f>
        <v>0.25</v>
      </c>
      <c r="AG11" s="54"/>
      <c r="AH11" s="54">
        <f>$U11</f>
        <v>0.25</v>
      </c>
      <c r="AI11" s="54"/>
      <c r="AJ11" s="54">
        <f>$U11</f>
        <v>0.25</v>
      </c>
      <c r="AK11" s="54"/>
      <c r="AL11" s="54">
        <f>$U11</f>
        <v>0.25</v>
      </c>
      <c r="AM11" s="54"/>
      <c r="AN11" s="54">
        <f>$U11</f>
        <v>0.25</v>
      </c>
      <c r="AO11" s="54"/>
      <c r="AP11" s="54">
        <f>$U11</f>
        <v>0.25</v>
      </c>
      <c r="AQ11" s="54"/>
      <c r="AR11" s="54">
        <f>$U11</f>
        <v>0.25</v>
      </c>
    </row>
    <row r="12" spans="1:44" ht="13.5" x14ac:dyDescent="0.65">
      <c r="A12" s="31">
        <v>5</v>
      </c>
      <c r="B12" s="33">
        <v>5</v>
      </c>
      <c r="C12" s="36">
        <v>3</v>
      </c>
      <c r="D12" s="36">
        <v>5</v>
      </c>
      <c r="E12" s="31">
        <v>3.9006711409395973</v>
      </c>
      <c r="F12" s="32">
        <f t="shared" si="0"/>
        <v>4.6251677852348996</v>
      </c>
      <c r="G12" s="34">
        <f t="shared" si="1"/>
        <v>4.6251677852348996</v>
      </c>
      <c r="H12" s="34">
        <f t="shared" si="2"/>
        <v>4.6251677852348996</v>
      </c>
      <c r="I12" s="34">
        <f t="shared" si="3"/>
        <v>4.6251677852348996</v>
      </c>
      <c r="J12" s="34">
        <f t="shared" si="4"/>
        <v>4.6251677852348996</v>
      </c>
      <c r="K12" s="34">
        <f t="shared" si="5"/>
        <v>4.6251677852348996</v>
      </c>
      <c r="L12" s="34">
        <f t="shared" si="6"/>
        <v>4.6251677852348996</v>
      </c>
      <c r="M12" s="34">
        <f t="shared" si="7"/>
        <v>4.6251677852348996</v>
      </c>
      <c r="N12" s="34">
        <f t="shared" si="8"/>
        <v>4.6251677852348996</v>
      </c>
      <c r="O12" s="34">
        <f t="shared" si="9"/>
        <v>4.6251677852348996</v>
      </c>
      <c r="P12" s="34">
        <f t="shared" si="10"/>
        <v>4.6251677852348996</v>
      </c>
      <c r="Q12" s="34">
        <f t="shared" si="11"/>
        <v>4.6251677852348996</v>
      </c>
      <c r="R12" s="70"/>
      <c r="S12" s="51" t="s">
        <v>56</v>
      </c>
      <c r="T12" s="52">
        <f>SUM(T8:T11)</f>
        <v>0.4</v>
      </c>
      <c r="U12" s="52">
        <f>SUM(U8:U11)</f>
        <v>0.60000000000000009</v>
      </c>
      <c r="V12" s="47"/>
      <c r="W12" s="54">
        <f>W2</f>
        <v>0.36000000000000004</v>
      </c>
      <c r="X12" s="54">
        <f>SUM(X8:X11)</f>
        <v>0.6399999999999999</v>
      </c>
      <c r="Y12" s="54">
        <f>Y2</f>
        <v>0.36800000000000005</v>
      </c>
      <c r="Z12" s="54">
        <f>SUM(Z8:Z11)</f>
        <v>0.6319999999999999</v>
      </c>
      <c r="AA12" s="54">
        <f>AA2</f>
        <v>0.376</v>
      </c>
      <c r="AB12" s="54">
        <f>SUM(AB8:AB11)</f>
        <v>0.624</v>
      </c>
      <c r="AC12" s="54">
        <f>AC2</f>
        <v>0.38400000000000001</v>
      </c>
      <c r="AD12" s="54">
        <f>SUM(AD8:AD11)</f>
        <v>0.61599999999999999</v>
      </c>
      <c r="AE12" s="54">
        <f>AE2</f>
        <v>0.39200000000000002</v>
      </c>
      <c r="AF12" s="54">
        <f>SUM(AF8:AF11)</f>
        <v>0.60799999999999998</v>
      </c>
      <c r="AG12" s="54">
        <f>AG2</f>
        <v>0.4</v>
      </c>
      <c r="AH12" s="54">
        <f>SUM(AH8:AH11)</f>
        <v>0.6</v>
      </c>
      <c r="AI12" s="54">
        <f>AI2</f>
        <v>0.40800000000000003</v>
      </c>
      <c r="AJ12" s="54">
        <f>SUM(AJ8:AJ11)</f>
        <v>0.59199999999999997</v>
      </c>
      <c r="AK12" s="54">
        <f>AK2</f>
        <v>0.41600000000000004</v>
      </c>
      <c r="AL12" s="54">
        <f>SUM(AL8:AL11)</f>
        <v>0.58399999999999996</v>
      </c>
      <c r="AM12" s="54">
        <f>AM2</f>
        <v>0.42400000000000004</v>
      </c>
      <c r="AN12" s="54">
        <f>SUM(AN8:AN11)</f>
        <v>0.57599999999999996</v>
      </c>
      <c r="AO12" s="54">
        <f>AO2</f>
        <v>0.43200000000000005</v>
      </c>
      <c r="AP12" s="54">
        <f>SUM(AP8:AP11)</f>
        <v>0.56799999999999995</v>
      </c>
      <c r="AQ12" s="54">
        <f>AQ2</f>
        <v>0.44000000000000006</v>
      </c>
      <c r="AR12" s="54">
        <f>SUM(AR8:AR11)</f>
        <v>0.55999999999999994</v>
      </c>
    </row>
    <row r="13" spans="1:44" ht="13.25" x14ac:dyDescent="0.65">
      <c r="A13" s="31">
        <v>5</v>
      </c>
      <c r="B13" s="33">
        <v>5</v>
      </c>
      <c r="C13" s="36">
        <v>3</v>
      </c>
      <c r="D13" s="36">
        <v>5</v>
      </c>
      <c r="E13" s="31">
        <v>3.640671273445212</v>
      </c>
      <c r="F13" s="32">
        <f t="shared" si="0"/>
        <v>4.560167818361303</v>
      </c>
      <c r="G13" s="34">
        <f t="shared" si="1"/>
        <v>4.560167818361303</v>
      </c>
      <c r="H13" s="34">
        <f t="shared" si="2"/>
        <v>4.560167818361303</v>
      </c>
      <c r="I13" s="34">
        <f t="shared" si="3"/>
        <v>4.560167818361303</v>
      </c>
      <c r="J13" s="34">
        <f t="shared" si="4"/>
        <v>4.560167818361303</v>
      </c>
      <c r="K13" s="34">
        <f t="shared" si="5"/>
        <v>4.560167818361303</v>
      </c>
      <c r="L13" s="34">
        <f t="shared" si="6"/>
        <v>4.560167818361303</v>
      </c>
      <c r="M13" s="34">
        <f t="shared" si="7"/>
        <v>4.560167818361303</v>
      </c>
      <c r="N13" s="34">
        <f t="shared" si="8"/>
        <v>4.560167818361303</v>
      </c>
      <c r="O13" s="34">
        <f t="shared" si="9"/>
        <v>4.560167818361303</v>
      </c>
      <c r="P13" s="34">
        <f t="shared" si="10"/>
        <v>4.560167818361303</v>
      </c>
      <c r="Q13" s="34">
        <f t="shared" si="11"/>
        <v>4.560167818361303</v>
      </c>
    </row>
    <row r="14" spans="1:44" ht="13.25" x14ac:dyDescent="0.65">
      <c r="A14" s="31">
        <v>5</v>
      </c>
      <c r="B14" s="33">
        <v>5</v>
      </c>
      <c r="C14" s="36">
        <v>4</v>
      </c>
      <c r="D14" s="36">
        <v>5</v>
      </c>
      <c r="E14" s="31">
        <v>3.6233525682125811</v>
      </c>
      <c r="F14" s="32">
        <f t="shared" si="0"/>
        <v>4.6058381420531456</v>
      </c>
      <c r="G14" s="34">
        <f t="shared" si="1"/>
        <v>4.6058381420531456</v>
      </c>
      <c r="H14" s="34">
        <f t="shared" si="2"/>
        <v>4.6058381420531456</v>
      </c>
      <c r="I14" s="34">
        <f t="shared" si="3"/>
        <v>4.6058381420531456</v>
      </c>
      <c r="J14" s="34">
        <f t="shared" si="4"/>
        <v>4.6058381420531456</v>
      </c>
      <c r="K14" s="34">
        <f t="shared" si="5"/>
        <v>4.6058381420531456</v>
      </c>
      <c r="L14" s="34">
        <f t="shared" si="6"/>
        <v>4.6058381420531456</v>
      </c>
      <c r="M14" s="34">
        <f t="shared" si="7"/>
        <v>4.6058381420531456</v>
      </c>
      <c r="N14" s="34">
        <f t="shared" si="8"/>
        <v>4.6058381420531456</v>
      </c>
      <c r="O14" s="34">
        <f t="shared" si="9"/>
        <v>4.6058381420531456</v>
      </c>
      <c r="P14" s="34">
        <f t="shared" si="10"/>
        <v>4.6058381420531456</v>
      </c>
      <c r="Q14" s="34">
        <f t="shared" si="11"/>
        <v>4.6058381420531456</v>
      </c>
    </row>
    <row r="15" spans="1:44" ht="13.25" x14ac:dyDescent="0.65">
      <c r="A15" s="31">
        <v>5</v>
      </c>
      <c r="B15" s="33">
        <v>5</v>
      </c>
      <c r="C15" s="36">
        <v>3</v>
      </c>
      <c r="D15" s="36">
        <v>5</v>
      </c>
      <c r="E15" s="31">
        <v>3.4049306562634039</v>
      </c>
      <c r="F15" s="32">
        <f t="shared" si="0"/>
        <v>4.5012326640658511</v>
      </c>
      <c r="G15" s="34">
        <f t="shared" si="1"/>
        <v>4.5012326640658511</v>
      </c>
      <c r="H15" s="34">
        <f t="shared" si="2"/>
        <v>4.5012326640658511</v>
      </c>
      <c r="I15" s="34">
        <f t="shared" si="3"/>
        <v>4.5012326640658511</v>
      </c>
      <c r="J15" s="34">
        <f t="shared" si="4"/>
        <v>4.5012326640658511</v>
      </c>
      <c r="K15" s="34">
        <f t="shared" si="5"/>
        <v>4.5012326640658511</v>
      </c>
      <c r="L15" s="34">
        <f t="shared" si="6"/>
        <v>4.5012326640658511</v>
      </c>
      <c r="M15" s="34">
        <f t="shared" si="7"/>
        <v>4.5012326640658511</v>
      </c>
      <c r="N15" s="34">
        <f t="shared" si="8"/>
        <v>4.5012326640658511</v>
      </c>
      <c r="O15" s="34">
        <f t="shared" si="9"/>
        <v>4.5012326640658511</v>
      </c>
      <c r="P15" s="34">
        <f t="shared" si="10"/>
        <v>4.5012326640658511</v>
      </c>
      <c r="Q15" s="34">
        <f t="shared" si="11"/>
        <v>4.5012326640658511</v>
      </c>
    </row>
    <row r="16" spans="1:44" ht="13.25" x14ac:dyDescent="0.65">
      <c r="A16" s="31">
        <v>5</v>
      </c>
      <c r="B16" s="33">
        <v>7</v>
      </c>
      <c r="C16" s="36">
        <v>5</v>
      </c>
      <c r="D16" s="36">
        <v>5</v>
      </c>
      <c r="E16" s="31">
        <v>4.0167686631464994</v>
      </c>
      <c r="F16" s="32">
        <f t="shared" si="0"/>
        <v>4.9541921657866252</v>
      </c>
      <c r="G16" s="34">
        <f t="shared" si="1"/>
        <v>5.0341921657866244</v>
      </c>
      <c r="H16" s="34">
        <f t="shared" si="2"/>
        <v>5.0181921657866244</v>
      </c>
      <c r="I16" s="34">
        <f t="shared" si="3"/>
        <v>5.0021921657866244</v>
      </c>
      <c r="J16" s="34">
        <f t="shared" si="4"/>
        <v>4.9861921657866244</v>
      </c>
      <c r="K16" s="34">
        <f t="shared" si="5"/>
        <v>4.9701921657866244</v>
      </c>
      <c r="L16" s="34">
        <f t="shared" si="6"/>
        <v>4.9541921657866244</v>
      </c>
      <c r="M16" s="34">
        <f t="shared" si="7"/>
        <v>4.9381921657866243</v>
      </c>
      <c r="N16" s="34">
        <f t="shared" si="8"/>
        <v>4.9221921657866243</v>
      </c>
      <c r="O16" s="34">
        <f t="shared" si="9"/>
        <v>4.9061921657866243</v>
      </c>
      <c r="P16" s="34">
        <f t="shared" si="10"/>
        <v>4.8901921657866243</v>
      </c>
      <c r="Q16" s="34">
        <f t="shared" si="11"/>
        <v>4.8741921657866243</v>
      </c>
    </row>
    <row r="17" spans="1:21" ht="13.25" x14ac:dyDescent="0.65">
      <c r="A17" s="31">
        <v>5</v>
      </c>
      <c r="B17" s="33">
        <v>5</v>
      </c>
      <c r="C17" s="36">
        <v>3</v>
      </c>
      <c r="D17" s="36">
        <v>5</v>
      </c>
      <c r="E17" s="31">
        <v>3.3603577611079052</v>
      </c>
      <c r="F17" s="32">
        <f t="shared" si="0"/>
        <v>4.490089440276976</v>
      </c>
      <c r="G17" s="34">
        <f t="shared" si="1"/>
        <v>4.490089440276976</v>
      </c>
      <c r="H17" s="34">
        <f t="shared" si="2"/>
        <v>4.490089440276976</v>
      </c>
      <c r="I17" s="34">
        <f t="shared" si="3"/>
        <v>4.490089440276976</v>
      </c>
      <c r="J17" s="34">
        <f t="shared" si="4"/>
        <v>4.490089440276976</v>
      </c>
      <c r="K17" s="34">
        <f t="shared" si="5"/>
        <v>4.490089440276976</v>
      </c>
      <c r="L17" s="34">
        <f t="shared" si="6"/>
        <v>4.490089440276976</v>
      </c>
      <c r="M17" s="34">
        <f t="shared" si="7"/>
        <v>4.490089440276976</v>
      </c>
      <c r="N17" s="34">
        <f t="shared" si="8"/>
        <v>4.490089440276976</v>
      </c>
      <c r="O17" s="34">
        <f t="shared" si="9"/>
        <v>4.490089440276976</v>
      </c>
      <c r="P17" s="34">
        <f t="shared" si="10"/>
        <v>4.490089440276976</v>
      </c>
      <c r="Q17" s="34">
        <f t="shared" si="11"/>
        <v>4.490089440276976</v>
      </c>
    </row>
    <row r="18" spans="1:21" ht="13.25" x14ac:dyDescent="0.65">
      <c r="A18" s="31">
        <v>5</v>
      </c>
      <c r="B18" s="33">
        <v>5</v>
      </c>
      <c r="C18" s="36">
        <v>4</v>
      </c>
      <c r="D18" s="36">
        <v>5</v>
      </c>
      <c r="E18" s="31">
        <v>3.1850056569869336</v>
      </c>
      <c r="F18" s="32">
        <f t="shared" si="0"/>
        <v>4.4962514142467338</v>
      </c>
      <c r="G18" s="34">
        <f t="shared" si="1"/>
        <v>4.4962514142467338</v>
      </c>
      <c r="H18" s="34">
        <f t="shared" si="2"/>
        <v>4.4962514142467338</v>
      </c>
      <c r="I18" s="34">
        <f t="shared" si="3"/>
        <v>4.4962514142467338</v>
      </c>
      <c r="J18" s="34">
        <f t="shared" si="4"/>
        <v>4.4962514142467338</v>
      </c>
      <c r="K18" s="34">
        <f t="shared" si="5"/>
        <v>4.4962514142467338</v>
      </c>
      <c r="L18" s="34">
        <f t="shared" si="6"/>
        <v>4.4962514142467338</v>
      </c>
      <c r="M18" s="34">
        <f t="shared" si="7"/>
        <v>4.4962514142467338</v>
      </c>
      <c r="N18" s="34">
        <f t="shared" si="8"/>
        <v>4.4962514142467338</v>
      </c>
      <c r="O18" s="34">
        <f t="shared" si="9"/>
        <v>4.4962514142467338</v>
      </c>
      <c r="P18" s="34">
        <f t="shared" si="10"/>
        <v>4.4962514142467338</v>
      </c>
      <c r="Q18" s="34">
        <f t="shared" si="11"/>
        <v>4.4962514142467338</v>
      </c>
    </row>
    <row r="19" spans="1:21" ht="14.5" x14ac:dyDescent="0.7">
      <c r="A19" s="31">
        <v>5</v>
      </c>
      <c r="B19" s="33">
        <v>5</v>
      </c>
      <c r="C19" s="36">
        <v>4</v>
      </c>
      <c r="D19" s="36">
        <v>5</v>
      </c>
      <c r="E19" s="31">
        <v>3.584759390375615</v>
      </c>
      <c r="F19" s="32">
        <f t="shared" si="0"/>
        <v>4.5961898475939043</v>
      </c>
      <c r="G19" s="34">
        <f t="shared" si="1"/>
        <v>4.5961898475939043</v>
      </c>
      <c r="H19" s="34">
        <f t="shared" si="2"/>
        <v>4.5961898475939043</v>
      </c>
      <c r="I19" s="34">
        <f t="shared" si="3"/>
        <v>4.5961898475939043</v>
      </c>
      <c r="J19" s="34">
        <f t="shared" si="4"/>
        <v>4.5961898475939043</v>
      </c>
      <c r="K19" s="34">
        <f t="shared" si="5"/>
        <v>4.5961898475939043</v>
      </c>
      <c r="L19" s="34">
        <f t="shared" si="6"/>
        <v>4.5961898475939043</v>
      </c>
      <c r="M19" s="34">
        <f t="shared" si="7"/>
        <v>4.5961898475939043</v>
      </c>
      <c r="N19" s="34">
        <f t="shared" si="8"/>
        <v>4.5961898475939043</v>
      </c>
      <c r="O19" s="34">
        <f t="shared" si="9"/>
        <v>4.5961898475939043</v>
      </c>
      <c r="P19" s="34">
        <f t="shared" si="10"/>
        <v>4.5961898475939043</v>
      </c>
      <c r="Q19" s="34">
        <f t="shared" si="11"/>
        <v>4.5961898475939043</v>
      </c>
      <c r="U19" s="46"/>
    </row>
    <row r="20" spans="1:21" ht="13.25" x14ac:dyDescent="0.65">
      <c r="A20" s="31">
        <v>5</v>
      </c>
      <c r="B20" s="33">
        <v>5</v>
      </c>
      <c r="C20" s="36">
        <v>4</v>
      </c>
      <c r="D20" s="36">
        <v>5</v>
      </c>
      <c r="E20" s="31">
        <v>3.5488622389067137</v>
      </c>
      <c r="F20" s="32">
        <f t="shared" si="0"/>
        <v>4.5872155597266788</v>
      </c>
      <c r="G20" s="34">
        <f t="shared" si="1"/>
        <v>4.5872155597266788</v>
      </c>
      <c r="H20" s="34">
        <f t="shared" si="2"/>
        <v>4.5872155597266788</v>
      </c>
      <c r="I20" s="34">
        <f t="shared" si="3"/>
        <v>4.5872155597266788</v>
      </c>
      <c r="J20" s="34">
        <f t="shared" si="4"/>
        <v>4.5872155597266788</v>
      </c>
      <c r="K20" s="34">
        <f t="shared" si="5"/>
        <v>4.5872155597266788</v>
      </c>
      <c r="L20" s="34">
        <f t="shared" si="6"/>
        <v>4.5872155597266788</v>
      </c>
      <c r="M20" s="34">
        <f t="shared" si="7"/>
        <v>4.5872155597266788</v>
      </c>
      <c r="N20" s="34">
        <f t="shared" si="8"/>
        <v>4.5872155597266788</v>
      </c>
      <c r="O20" s="34">
        <f t="shared" si="9"/>
        <v>4.5872155597266788</v>
      </c>
      <c r="P20" s="34">
        <f t="shared" si="10"/>
        <v>4.5872155597266788</v>
      </c>
      <c r="Q20" s="34">
        <f t="shared" si="11"/>
        <v>4.5872155597266788</v>
      </c>
    </row>
    <row r="21" spans="1:21" ht="13.25" x14ac:dyDescent="0.65">
      <c r="A21" s="31">
        <v>5</v>
      </c>
      <c r="B21" s="33">
        <v>5</v>
      </c>
      <c r="C21" s="36">
        <v>3</v>
      </c>
      <c r="D21" s="36">
        <v>5</v>
      </c>
      <c r="E21" s="31">
        <v>3.6608328643781656</v>
      </c>
      <c r="F21" s="32">
        <f t="shared" si="0"/>
        <v>4.5652082160945415</v>
      </c>
      <c r="G21" s="34">
        <f t="shared" si="1"/>
        <v>4.5652082160945415</v>
      </c>
      <c r="H21" s="34">
        <f t="shared" si="2"/>
        <v>4.5652082160945415</v>
      </c>
      <c r="I21" s="34">
        <f t="shared" si="3"/>
        <v>4.5652082160945415</v>
      </c>
      <c r="J21" s="34">
        <f t="shared" si="4"/>
        <v>4.5652082160945415</v>
      </c>
      <c r="K21" s="34">
        <f t="shared" si="5"/>
        <v>4.5652082160945415</v>
      </c>
      <c r="L21" s="34">
        <f t="shared" si="6"/>
        <v>4.5652082160945415</v>
      </c>
      <c r="M21" s="34">
        <f t="shared" si="7"/>
        <v>4.5652082160945415</v>
      </c>
      <c r="N21" s="34">
        <f t="shared" si="8"/>
        <v>4.5652082160945415</v>
      </c>
      <c r="O21" s="34">
        <f t="shared" si="9"/>
        <v>4.5652082160945415</v>
      </c>
      <c r="P21" s="34">
        <f t="shared" si="10"/>
        <v>4.5652082160945415</v>
      </c>
      <c r="Q21" s="34">
        <f t="shared" si="11"/>
        <v>4.5652082160945415</v>
      </c>
    </row>
    <row r="22" spans="1:21" ht="13.25" x14ac:dyDescent="0.65">
      <c r="A22" s="31">
        <v>5</v>
      </c>
      <c r="B22" s="33">
        <v>5</v>
      </c>
      <c r="C22" s="36">
        <v>5</v>
      </c>
      <c r="D22" s="36">
        <v>5</v>
      </c>
      <c r="E22" s="31">
        <v>3.3127630303810678</v>
      </c>
      <c r="F22" s="32">
        <f t="shared" si="0"/>
        <v>4.5781907575952667</v>
      </c>
      <c r="G22" s="34">
        <f t="shared" si="1"/>
        <v>4.5781907575952667</v>
      </c>
      <c r="H22" s="34">
        <f t="shared" si="2"/>
        <v>4.5781907575952667</v>
      </c>
      <c r="I22" s="34">
        <f t="shared" si="3"/>
        <v>4.5781907575952667</v>
      </c>
      <c r="J22" s="34">
        <f t="shared" si="4"/>
        <v>4.5781907575952667</v>
      </c>
      <c r="K22" s="34">
        <f t="shared" si="5"/>
        <v>4.5781907575952667</v>
      </c>
      <c r="L22" s="34">
        <f t="shared" si="6"/>
        <v>4.5781907575952667</v>
      </c>
      <c r="M22" s="34">
        <f t="shared" si="7"/>
        <v>4.5781907575952667</v>
      </c>
      <c r="N22" s="34">
        <f t="shared" si="8"/>
        <v>4.5781907575952667</v>
      </c>
      <c r="O22" s="34">
        <f t="shared" si="9"/>
        <v>4.5781907575952667</v>
      </c>
      <c r="P22" s="34">
        <f t="shared" si="10"/>
        <v>4.5781907575952667</v>
      </c>
      <c r="Q22" s="34">
        <f t="shared" si="11"/>
        <v>4.5781907575952667</v>
      </c>
    </row>
    <row r="23" spans="1:21" ht="13.25" x14ac:dyDescent="0.65">
      <c r="A23" s="31">
        <v>5</v>
      </c>
      <c r="B23" s="33">
        <v>7</v>
      </c>
      <c r="C23" s="36">
        <v>5</v>
      </c>
      <c r="D23" s="36">
        <v>5</v>
      </c>
      <c r="E23" s="31">
        <v>3.752719481375673</v>
      </c>
      <c r="F23" s="32">
        <f t="shared" si="0"/>
        <v>4.8881798703439188</v>
      </c>
      <c r="G23" s="34">
        <f t="shared" si="1"/>
        <v>4.9681798703439179</v>
      </c>
      <c r="H23" s="34">
        <f t="shared" si="2"/>
        <v>4.9521798703439179</v>
      </c>
      <c r="I23" s="34">
        <f t="shared" si="3"/>
        <v>4.9361798703439179</v>
      </c>
      <c r="J23" s="34">
        <f t="shared" si="4"/>
        <v>4.9201798703439179</v>
      </c>
      <c r="K23" s="34">
        <f t="shared" si="5"/>
        <v>4.9041798703439179</v>
      </c>
      <c r="L23" s="34">
        <f t="shared" si="6"/>
        <v>4.8881798703439179</v>
      </c>
      <c r="M23" s="34">
        <f t="shared" si="7"/>
        <v>4.8721798703439179</v>
      </c>
      <c r="N23" s="34">
        <f t="shared" si="8"/>
        <v>4.8561798703439178</v>
      </c>
      <c r="O23" s="34">
        <f t="shared" si="9"/>
        <v>4.8401798703439178</v>
      </c>
      <c r="P23" s="34">
        <f t="shared" si="10"/>
        <v>4.8241798703439178</v>
      </c>
      <c r="Q23" s="34">
        <f t="shared" si="11"/>
        <v>4.8081798703439178</v>
      </c>
    </row>
    <row r="24" spans="1:21" ht="13.25" x14ac:dyDescent="0.65">
      <c r="A24" s="31">
        <v>5</v>
      </c>
      <c r="B24" s="33">
        <v>5</v>
      </c>
      <c r="C24" s="36">
        <v>6</v>
      </c>
      <c r="D24" s="36">
        <v>7</v>
      </c>
      <c r="E24" s="31">
        <v>3.2580852947037209</v>
      </c>
      <c r="F24" s="32">
        <f t="shared" si="0"/>
        <v>5.0145213236759307</v>
      </c>
      <c r="G24" s="34">
        <f t="shared" si="1"/>
        <v>5.0145213236759307</v>
      </c>
      <c r="H24" s="34">
        <f t="shared" si="2"/>
        <v>5.0145213236759307</v>
      </c>
      <c r="I24" s="34">
        <f t="shared" si="3"/>
        <v>5.0145213236759307</v>
      </c>
      <c r="J24" s="34">
        <f t="shared" si="4"/>
        <v>5.0145213236759307</v>
      </c>
      <c r="K24" s="34">
        <f t="shared" si="5"/>
        <v>5.0145213236759307</v>
      </c>
      <c r="L24" s="34">
        <f t="shared" si="6"/>
        <v>5.0145213236759307</v>
      </c>
      <c r="M24" s="34">
        <f t="shared" si="7"/>
        <v>5.0145213236759307</v>
      </c>
      <c r="N24" s="34">
        <f t="shared" si="8"/>
        <v>5.0145213236759307</v>
      </c>
      <c r="O24" s="34">
        <f t="shared" si="9"/>
        <v>5.0145213236759307</v>
      </c>
      <c r="P24" s="34">
        <f t="shared" si="10"/>
        <v>5.0145213236759307</v>
      </c>
      <c r="Q24" s="34">
        <f t="shared" si="11"/>
        <v>5.0145213236759307</v>
      </c>
    </row>
    <row r="25" spans="1:21" ht="13.25" x14ac:dyDescent="0.65">
      <c r="A25" s="31">
        <v>5</v>
      </c>
      <c r="B25" s="33">
        <v>7</v>
      </c>
      <c r="C25" s="36">
        <v>6</v>
      </c>
      <c r="D25" s="36">
        <v>5</v>
      </c>
      <c r="E25" s="31">
        <v>3.3312819154530193</v>
      </c>
      <c r="F25" s="32">
        <f t="shared" si="0"/>
        <v>4.8328204788632547</v>
      </c>
      <c r="G25" s="34">
        <f t="shared" si="1"/>
        <v>4.9128204788632539</v>
      </c>
      <c r="H25" s="34">
        <f t="shared" si="2"/>
        <v>4.8968204788632539</v>
      </c>
      <c r="I25" s="34">
        <f t="shared" si="3"/>
        <v>4.8808204788632548</v>
      </c>
      <c r="J25" s="34">
        <f t="shared" si="4"/>
        <v>4.8648204788632547</v>
      </c>
      <c r="K25" s="34">
        <f t="shared" si="5"/>
        <v>4.8488204788632547</v>
      </c>
      <c r="L25" s="34">
        <f t="shared" si="6"/>
        <v>4.8328204788632547</v>
      </c>
      <c r="M25" s="34">
        <f t="shared" si="7"/>
        <v>4.8168204788632547</v>
      </c>
      <c r="N25" s="34">
        <f t="shared" si="8"/>
        <v>4.8008204788632547</v>
      </c>
      <c r="O25" s="34">
        <f t="shared" si="9"/>
        <v>4.7848204788632547</v>
      </c>
      <c r="P25" s="34">
        <f t="shared" si="10"/>
        <v>4.7688204788632547</v>
      </c>
      <c r="Q25" s="34">
        <f t="shared" si="11"/>
        <v>4.7528204788632546</v>
      </c>
    </row>
    <row r="26" spans="1:21" ht="13.25" x14ac:dyDescent="0.65">
      <c r="A26" s="31">
        <v>5</v>
      </c>
      <c r="B26" s="33">
        <v>5</v>
      </c>
      <c r="C26" s="36">
        <v>7</v>
      </c>
      <c r="D26" s="36">
        <v>5</v>
      </c>
      <c r="E26" s="31">
        <v>3.2922785447626968</v>
      </c>
      <c r="F26" s="32">
        <f t="shared" si="0"/>
        <v>4.6730696361906743</v>
      </c>
      <c r="G26" s="34">
        <f t="shared" si="1"/>
        <v>4.6730696361906743</v>
      </c>
      <c r="H26" s="34">
        <f t="shared" si="2"/>
        <v>4.6730696361906743</v>
      </c>
      <c r="I26" s="34">
        <f t="shared" si="3"/>
        <v>4.6730696361906743</v>
      </c>
      <c r="J26" s="34">
        <f t="shared" si="4"/>
        <v>4.6730696361906743</v>
      </c>
      <c r="K26" s="34">
        <f t="shared" si="5"/>
        <v>4.6730696361906743</v>
      </c>
      <c r="L26" s="34">
        <f t="shared" si="6"/>
        <v>4.6730696361906743</v>
      </c>
      <c r="M26" s="34">
        <f t="shared" si="7"/>
        <v>4.6730696361906743</v>
      </c>
      <c r="N26" s="34">
        <f t="shared" si="8"/>
        <v>4.6730696361906743</v>
      </c>
      <c r="O26" s="34">
        <f t="shared" si="9"/>
        <v>4.6730696361906743</v>
      </c>
      <c r="P26" s="34">
        <f t="shared" si="10"/>
        <v>4.6730696361906743</v>
      </c>
      <c r="Q26" s="34">
        <f t="shared" si="11"/>
        <v>4.6730696361906743</v>
      </c>
    </row>
    <row r="28" spans="1:21" x14ac:dyDescent="0.6">
      <c r="G28" s="13">
        <f>AVERAGE(G2:G27)</f>
        <v>4.7172595374205013</v>
      </c>
      <c r="H28" s="13">
        <f t="shared" ref="H28:Q28" si="14">AVERAGE(H2:H27)</f>
        <v>4.7140595374205017</v>
      </c>
      <c r="I28" s="13">
        <f t="shared" si="14"/>
        <v>4.710859537420502</v>
      </c>
      <c r="J28" s="13">
        <f t="shared" si="14"/>
        <v>4.7076595374205015</v>
      </c>
      <c r="K28" s="13">
        <f t="shared" si="14"/>
        <v>4.7044595374205018</v>
      </c>
      <c r="L28" s="13">
        <f t="shared" si="14"/>
        <v>4.7012595374205013</v>
      </c>
      <c r="M28" s="13">
        <f t="shared" si="14"/>
        <v>4.6980595374205016</v>
      </c>
      <c r="N28" s="13">
        <f t="shared" si="14"/>
        <v>4.694859537420502</v>
      </c>
      <c r="O28" s="13">
        <f t="shared" si="14"/>
        <v>4.6916595374205023</v>
      </c>
      <c r="P28" s="13">
        <f t="shared" si="14"/>
        <v>4.6884595374205018</v>
      </c>
      <c r="Q28" s="13">
        <f t="shared" si="14"/>
        <v>4.6852595374205022</v>
      </c>
    </row>
  </sheetData>
  <mergeCells count="14">
    <mergeCell ref="R3:R7"/>
    <mergeCell ref="R8:R12"/>
    <mergeCell ref="AQ1:AR1"/>
    <mergeCell ref="R1:S2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</mergeCells>
  <phoneticPr fontId="16" type="noConversion"/>
  <conditionalFormatting sqref="G2:Q2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E6C4-FBE9-4259-8D3E-0F90A6FA8EAE}">
  <dimension ref="A1:AR28"/>
  <sheetViews>
    <sheetView topLeftCell="J1" zoomScale="70" zoomScaleNormal="70" workbookViewId="0">
      <selection activeCell="AJ22" sqref="AJ22"/>
    </sheetView>
  </sheetViews>
  <sheetFormatPr defaultRowHeight="13" x14ac:dyDescent="0.6"/>
  <cols>
    <col min="1" max="1" width="8.2265625" style="45" customWidth="1"/>
    <col min="2" max="2" width="15.54296875" style="45" customWidth="1"/>
    <col min="3" max="3" width="8.04296875" style="45" customWidth="1"/>
    <col min="4" max="4" width="8.7265625" style="45"/>
    <col min="5" max="6" width="11" style="14" customWidth="1"/>
    <col min="7" max="7" width="7.26953125" style="14" bestFit="1" customWidth="1"/>
    <col min="8" max="16" width="8.1796875" style="14" bestFit="1" customWidth="1"/>
    <col min="17" max="17" width="7.26953125" style="14" bestFit="1" customWidth="1"/>
    <col min="18" max="18" width="20.40625" style="14" customWidth="1"/>
    <col min="19" max="21" width="8.7265625" style="14"/>
    <col min="22" max="22" width="28.36328125" style="14" customWidth="1"/>
    <col min="23" max="34" width="4.31640625" style="45" bestFit="1" customWidth="1"/>
    <col min="35" max="44" width="4.31640625" style="14" bestFit="1" customWidth="1"/>
    <col min="45" max="16384" width="8.7265625" style="14"/>
  </cols>
  <sheetData>
    <row r="1" spans="1:44" ht="28.5" x14ac:dyDescent="0.6">
      <c r="A1" s="43" t="s">
        <v>59</v>
      </c>
      <c r="B1" s="43" t="s">
        <v>60</v>
      </c>
      <c r="C1" s="43" t="s">
        <v>70</v>
      </c>
      <c r="D1" s="44" t="s">
        <v>62</v>
      </c>
      <c r="E1" s="43" t="s">
        <v>63</v>
      </c>
      <c r="F1" s="43" t="s">
        <v>65</v>
      </c>
      <c r="G1" s="43" t="s">
        <v>82</v>
      </c>
      <c r="H1" s="43" t="s">
        <v>83</v>
      </c>
      <c r="I1" s="43" t="s">
        <v>84</v>
      </c>
      <c r="J1" s="43" t="s">
        <v>85</v>
      </c>
      <c r="K1" s="43" t="s">
        <v>86</v>
      </c>
      <c r="L1" s="43" t="s">
        <v>87</v>
      </c>
      <c r="M1" s="43" t="s">
        <v>88</v>
      </c>
      <c r="N1" s="43" t="s">
        <v>89</v>
      </c>
      <c r="O1" s="43" t="s">
        <v>90</v>
      </c>
      <c r="P1" s="43" t="s">
        <v>91</v>
      </c>
      <c r="Q1" s="43" t="s">
        <v>92</v>
      </c>
      <c r="R1" s="70" t="s">
        <v>78</v>
      </c>
      <c r="S1" s="70"/>
      <c r="T1" s="48" t="s">
        <v>71</v>
      </c>
      <c r="U1" s="48" t="s">
        <v>64</v>
      </c>
      <c r="V1" s="47"/>
      <c r="W1" s="72">
        <v>0.9</v>
      </c>
      <c r="X1" s="71"/>
      <c r="Y1" s="71">
        <v>0.92</v>
      </c>
      <c r="Z1" s="71"/>
      <c r="AA1" s="71">
        <v>0.94</v>
      </c>
      <c r="AB1" s="71"/>
      <c r="AC1" s="71">
        <v>0.96</v>
      </c>
      <c r="AD1" s="71"/>
      <c r="AE1" s="71">
        <v>0.98</v>
      </c>
      <c r="AF1" s="71"/>
      <c r="AG1" s="71">
        <v>1</v>
      </c>
      <c r="AH1" s="71"/>
      <c r="AI1" s="71">
        <v>1</v>
      </c>
      <c r="AJ1" s="71"/>
      <c r="AK1" s="71">
        <v>1</v>
      </c>
      <c r="AL1" s="71"/>
      <c r="AM1" s="71">
        <v>1</v>
      </c>
      <c r="AN1" s="71"/>
      <c r="AO1" s="71">
        <v>1</v>
      </c>
      <c r="AP1" s="71"/>
      <c r="AQ1" s="71">
        <v>1</v>
      </c>
      <c r="AR1" s="71"/>
    </row>
    <row r="2" spans="1:44" ht="13.5" x14ac:dyDescent="0.65">
      <c r="A2" s="31">
        <v>5</v>
      </c>
      <c r="B2" s="33">
        <v>5</v>
      </c>
      <c r="C2" s="36">
        <v>3</v>
      </c>
      <c r="D2" s="36">
        <v>5</v>
      </c>
      <c r="E2" s="31">
        <v>3.6365658362989324</v>
      </c>
      <c r="F2" s="32">
        <f t="shared" ref="F2:F26" si="0">A2*T$12+B2*U$8+C2*U$9+D2*U$10+E2*U$11</f>
        <v>4.5591414590747332</v>
      </c>
      <c r="G2" s="34">
        <f t="shared" ref="G2:G26" si="1">$A2*W$12+$B2*X$8+$C2*X$9+$D2*X$10+$E2*X$11</f>
        <v>4.4791414590747332</v>
      </c>
      <c r="H2" s="34">
        <f t="shared" ref="H2:H26" si="2">$A2*Y$12+$B2*Z$8+$C2*Z$9+$D2*Z$10+$E2*Z$11</f>
        <v>4.4951414590747332</v>
      </c>
      <c r="I2" s="34">
        <f t="shared" ref="I2:I26" si="3">$A2*AA$12+$B2*AB$8+$C2*AB$9+$D2*AB$10+$E2*AB$11</f>
        <v>4.5111414590747332</v>
      </c>
      <c r="J2" s="34">
        <f t="shared" ref="J2:J26" si="4">$A2*AC$12+$B2*AD$8+$C2*AD$9+$D2*AD$10+$E2*AD$11</f>
        <v>4.5271414590747332</v>
      </c>
      <c r="K2" s="34">
        <f t="shared" ref="K2:K26" si="5">$A2*AE$12+$B2*AF$8+$C2*AF$9+$D2*AF$10+$E2*AF$11</f>
        <v>4.5431414590747332</v>
      </c>
      <c r="L2" s="34">
        <f t="shared" ref="L2:L26" si="6">$A2*AG$12+$B2*AH$8+$C2*AH$9+$D2*AH$10+$E2*AH$11</f>
        <v>4.5591414590747332</v>
      </c>
      <c r="M2" s="34">
        <f t="shared" ref="M2:M26" si="7">$A2*AI$12+$B2*AJ$8+$C2*AJ$9+$D2*AJ$10+$E2*AJ$11</f>
        <v>4.5751414590747332</v>
      </c>
      <c r="N2" s="34">
        <f t="shared" ref="N2:N26" si="8">$A2*AK$12+$B2*AL$8+$C2*AL$9+$D2*AL$10+$E2*AL$11</f>
        <v>4.5911414590747333</v>
      </c>
      <c r="O2" s="34">
        <f t="shared" ref="O2:O26" si="9">$A2*AM$12+$B2*AN$8+$C2*AN$9+$D2*AN$10+$E2*AN$11</f>
        <v>4.6071414590747333</v>
      </c>
      <c r="P2" s="34">
        <f t="shared" ref="P2:P26" si="10">$A2*AO$12+$B2*AP$8+$C2*AP$9+$D2*AP$10+$E2*AP$11</f>
        <v>4.6231414590747333</v>
      </c>
      <c r="Q2" s="34">
        <f t="shared" ref="Q2:Q26" si="11">$A2*AQ$12+$B2*AR$8+$C2*AR$9+$D2*AR$10+$E2*AR$11</f>
        <v>4.6391414590747333</v>
      </c>
      <c r="R2" s="70"/>
      <c r="S2" s="70"/>
      <c r="T2" s="47">
        <v>0.4</v>
      </c>
      <c r="U2" s="47">
        <v>0.6</v>
      </c>
      <c r="V2" s="47"/>
      <c r="W2" s="54">
        <f>$T2*0.9</f>
        <v>0.36000000000000004</v>
      </c>
      <c r="X2" s="54">
        <f>1-W2</f>
        <v>0.6399999999999999</v>
      </c>
      <c r="Y2" s="54">
        <f>$T2*0.92</f>
        <v>0.36800000000000005</v>
      </c>
      <c r="Z2" s="54">
        <f>1-Y2</f>
        <v>0.6319999999999999</v>
      </c>
      <c r="AA2" s="54">
        <f>$T2*0.94</f>
        <v>0.376</v>
      </c>
      <c r="AB2" s="54">
        <f>1-AA2</f>
        <v>0.624</v>
      </c>
      <c r="AC2" s="54">
        <f>$T2*0.96</f>
        <v>0.38400000000000001</v>
      </c>
      <c r="AD2" s="54">
        <f>1-AC2</f>
        <v>0.61599999999999999</v>
      </c>
      <c r="AE2" s="54">
        <f>$T2*0.98</f>
        <v>0.39200000000000002</v>
      </c>
      <c r="AF2" s="54">
        <f>1-AE2</f>
        <v>0.60799999999999998</v>
      </c>
      <c r="AG2" s="54">
        <f>$T2*1</f>
        <v>0.4</v>
      </c>
      <c r="AH2" s="54">
        <f>1-AG2</f>
        <v>0.6</v>
      </c>
      <c r="AI2" s="54">
        <f>$T2*1.02</f>
        <v>0.40800000000000003</v>
      </c>
      <c r="AJ2" s="54">
        <f>1-AI2</f>
        <v>0.59199999999999997</v>
      </c>
      <c r="AK2" s="54">
        <f>$T2*1.04</f>
        <v>0.41600000000000004</v>
      </c>
      <c r="AL2" s="54">
        <f>1-AK2</f>
        <v>0.58399999999999996</v>
      </c>
      <c r="AM2" s="54">
        <f>$T2*1.06</f>
        <v>0.42400000000000004</v>
      </c>
      <c r="AN2" s="54">
        <f>1-AM2</f>
        <v>0.57599999999999996</v>
      </c>
      <c r="AO2" s="54">
        <f>$T2*1.08</f>
        <v>0.43200000000000005</v>
      </c>
      <c r="AP2" s="54">
        <f>1-AO2</f>
        <v>0.56799999999999995</v>
      </c>
      <c r="AQ2" s="54">
        <f>$T2*1.1</f>
        <v>0.44000000000000006</v>
      </c>
      <c r="AR2" s="54">
        <f>1-AQ2</f>
        <v>0.55999999999999994</v>
      </c>
    </row>
    <row r="3" spans="1:44" ht="13.5" x14ac:dyDescent="0.65">
      <c r="A3" s="31">
        <v>6</v>
      </c>
      <c r="B3" s="33">
        <v>7</v>
      </c>
      <c r="C3" s="36">
        <v>5</v>
      </c>
      <c r="D3" s="36">
        <v>5</v>
      </c>
      <c r="E3" s="31">
        <v>3.5541009969031303</v>
      </c>
      <c r="F3" s="32">
        <f t="shared" si="0"/>
        <v>5.2385252492257832</v>
      </c>
      <c r="G3" s="34">
        <f t="shared" si="1"/>
        <v>5.1985252492257832</v>
      </c>
      <c r="H3" s="34">
        <f t="shared" si="2"/>
        <v>5.2065252492257823</v>
      </c>
      <c r="I3" s="34">
        <f t="shared" si="3"/>
        <v>5.2145252492257832</v>
      </c>
      <c r="J3" s="34">
        <f t="shared" si="4"/>
        <v>5.2225252492257832</v>
      </c>
      <c r="K3" s="34">
        <f t="shared" si="5"/>
        <v>5.2305252492257832</v>
      </c>
      <c r="L3" s="34">
        <f t="shared" si="6"/>
        <v>5.2385252492257832</v>
      </c>
      <c r="M3" s="34">
        <f t="shared" si="7"/>
        <v>5.2465252492257832</v>
      </c>
      <c r="N3" s="34">
        <f t="shared" si="8"/>
        <v>5.2545252492257832</v>
      </c>
      <c r="O3" s="34">
        <f t="shared" si="9"/>
        <v>5.2625252492257832</v>
      </c>
      <c r="P3" s="34">
        <f t="shared" si="10"/>
        <v>5.2705252492257832</v>
      </c>
      <c r="Q3" s="34">
        <f t="shared" si="11"/>
        <v>5.2785252492257833</v>
      </c>
      <c r="R3" s="70" t="s">
        <v>79</v>
      </c>
      <c r="S3" s="47" t="s">
        <v>72</v>
      </c>
      <c r="T3" s="49">
        <v>0.5</v>
      </c>
      <c r="U3" s="49">
        <f>U8/U$2</f>
        <v>0.16666666666666669</v>
      </c>
      <c r="V3" s="50" t="s">
        <v>75</v>
      </c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</row>
    <row r="4" spans="1:44" ht="15.5" x14ac:dyDescent="0.65">
      <c r="A4" s="31">
        <v>5</v>
      </c>
      <c r="B4" s="33">
        <v>7</v>
      </c>
      <c r="C4" s="36">
        <v>3</v>
      </c>
      <c r="D4" s="36">
        <v>5</v>
      </c>
      <c r="E4" s="31">
        <v>3.4015731515469323</v>
      </c>
      <c r="F4" s="32">
        <f t="shared" si="0"/>
        <v>4.7003932878867332</v>
      </c>
      <c r="G4" s="34">
        <f t="shared" si="1"/>
        <v>4.6203932878867331</v>
      </c>
      <c r="H4" s="34">
        <f t="shared" si="2"/>
        <v>4.6363932878867331</v>
      </c>
      <c r="I4" s="34">
        <f t="shared" si="3"/>
        <v>4.6523932878867331</v>
      </c>
      <c r="J4" s="34">
        <f t="shared" si="4"/>
        <v>4.6683932878867331</v>
      </c>
      <c r="K4" s="34">
        <f t="shared" si="5"/>
        <v>4.6843932878867331</v>
      </c>
      <c r="L4" s="34">
        <f t="shared" si="6"/>
        <v>4.7003932878867332</v>
      </c>
      <c r="M4" s="34">
        <f t="shared" si="7"/>
        <v>4.7163932878867332</v>
      </c>
      <c r="N4" s="34">
        <f t="shared" si="8"/>
        <v>4.7323932878867332</v>
      </c>
      <c r="O4" s="34">
        <f t="shared" si="9"/>
        <v>4.7483932878867332</v>
      </c>
      <c r="P4" s="34">
        <f t="shared" si="10"/>
        <v>4.7643932878867332</v>
      </c>
      <c r="Q4" s="34">
        <f t="shared" si="11"/>
        <v>4.7803932878867332</v>
      </c>
      <c r="R4" s="70"/>
      <c r="S4" s="47" t="s">
        <v>73</v>
      </c>
      <c r="T4" s="49">
        <v>0.39</v>
      </c>
      <c r="U4" s="49">
        <f t="shared" ref="U4:U6" si="12">U9/U$2</f>
        <v>8.3333333333333343E-2</v>
      </c>
      <c r="V4" s="50" t="s">
        <v>81</v>
      </c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</row>
    <row r="5" spans="1:44" ht="13.5" x14ac:dyDescent="0.65">
      <c r="A5" s="31">
        <v>5</v>
      </c>
      <c r="B5" s="33">
        <v>5</v>
      </c>
      <c r="C5" s="36">
        <v>7</v>
      </c>
      <c r="D5" s="36">
        <v>5</v>
      </c>
      <c r="E5" s="31">
        <v>3.4681211898117019</v>
      </c>
      <c r="F5" s="32">
        <f t="shared" si="0"/>
        <v>4.7170302974529257</v>
      </c>
      <c r="G5" s="34">
        <f t="shared" si="1"/>
        <v>4.7970302974529258</v>
      </c>
      <c r="H5" s="34">
        <f t="shared" si="2"/>
        <v>4.7810302974529257</v>
      </c>
      <c r="I5" s="34">
        <f t="shared" si="3"/>
        <v>4.7650302974529257</v>
      </c>
      <c r="J5" s="34">
        <f t="shared" si="4"/>
        <v>4.7490302974529257</v>
      </c>
      <c r="K5" s="34">
        <f t="shared" si="5"/>
        <v>4.7330302974529257</v>
      </c>
      <c r="L5" s="34">
        <f t="shared" si="6"/>
        <v>4.7170302974529257</v>
      </c>
      <c r="M5" s="34">
        <f t="shared" si="7"/>
        <v>4.7010302974529257</v>
      </c>
      <c r="N5" s="34">
        <f t="shared" si="8"/>
        <v>4.6850302974529257</v>
      </c>
      <c r="O5" s="34">
        <f t="shared" si="9"/>
        <v>4.6690302974529256</v>
      </c>
      <c r="P5" s="34">
        <f t="shared" si="10"/>
        <v>4.6530302974529256</v>
      </c>
      <c r="Q5" s="34">
        <f t="shared" si="11"/>
        <v>4.6370302974529256</v>
      </c>
      <c r="R5" s="70"/>
      <c r="S5" s="47" t="s">
        <v>74</v>
      </c>
      <c r="T5" s="49">
        <v>0.11</v>
      </c>
      <c r="U5" s="49">
        <f t="shared" si="12"/>
        <v>0.33333333333333337</v>
      </c>
      <c r="V5" s="50" t="s">
        <v>76</v>
      </c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13.5" x14ac:dyDescent="0.65">
      <c r="A6" s="31">
        <v>5</v>
      </c>
      <c r="B6" s="33">
        <v>5</v>
      </c>
      <c r="C6" s="36">
        <v>5</v>
      </c>
      <c r="D6" s="36">
        <v>5</v>
      </c>
      <c r="E6" s="31">
        <v>3.3716366700776499</v>
      </c>
      <c r="F6" s="32">
        <f t="shared" si="0"/>
        <v>4.5929091675194123</v>
      </c>
      <c r="G6" s="34">
        <f t="shared" si="1"/>
        <v>4.5929091675194123</v>
      </c>
      <c r="H6" s="34">
        <f t="shared" si="2"/>
        <v>4.5929091675194123</v>
      </c>
      <c r="I6" s="34">
        <f t="shared" si="3"/>
        <v>4.5929091675194123</v>
      </c>
      <c r="J6" s="34">
        <f t="shared" si="4"/>
        <v>4.5929091675194123</v>
      </c>
      <c r="K6" s="34">
        <f t="shared" si="5"/>
        <v>4.5929091675194123</v>
      </c>
      <c r="L6" s="34">
        <f t="shared" si="6"/>
        <v>4.5929091675194123</v>
      </c>
      <c r="M6" s="34">
        <f t="shared" si="7"/>
        <v>4.5929091675194123</v>
      </c>
      <c r="N6" s="34">
        <f t="shared" si="8"/>
        <v>4.5929091675194123</v>
      </c>
      <c r="O6" s="34">
        <f t="shared" si="9"/>
        <v>4.5929091675194123</v>
      </c>
      <c r="P6" s="34">
        <f t="shared" si="10"/>
        <v>4.5929091675194123</v>
      </c>
      <c r="Q6" s="34">
        <f t="shared" si="11"/>
        <v>4.5929091675194123</v>
      </c>
      <c r="R6" s="70"/>
      <c r="S6" s="47"/>
      <c r="T6" s="49"/>
      <c r="U6" s="49">
        <f t="shared" si="12"/>
        <v>0.41666666666666669</v>
      </c>
      <c r="V6" s="50" t="s">
        <v>77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</row>
    <row r="7" spans="1:44" ht="13.5" x14ac:dyDescent="0.65">
      <c r="A7" s="31">
        <v>5</v>
      </c>
      <c r="B7" s="33">
        <v>5</v>
      </c>
      <c r="C7" s="36">
        <v>4</v>
      </c>
      <c r="D7" s="36">
        <v>5</v>
      </c>
      <c r="E7" s="31">
        <v>3.3664164184585252</v>
      </c>
      <c r="F7" s="32">
        <f t="shared" si="0"/>
        <v>4.5416041046146312</v>
      </c>
      <c r="G7" s="34">
        <f t="shared" si="1"/>
        <v>4.5016041046146311</v>
      </c>
      <c r="H7" s="34">
        <f t="shared" si="2"/>
        <v>4.5096041046146311</v>
      </c>
      <c r="I7" s="34">
        <f t="shared" si="3"/>
        <v>4.5176041046146311</v>
      </c>
      <c r="J7" s="34">
        <f t="shared" si="4"/>
        <v>4.5256041046146311</v>
      </c>
      <c r="K7" s="34">
        <f t="shared" si="5"/>
        <v>4.5336041046146311</v>
      </c>
      <c r="L7" s="34">
        <f t="shared" si="6"/>
        <v>4.5416041046146312</v>
      </c>
      <c r="M7" s="34">
        <f t="shared" si="7"/>
        <v>4.5496041046146312</v>
      </c>
      <c r="N7" s="34">
        <f t="shared" si="8"/>
        <v>4.5576041046146312</v>
      </c>
      <c r="O7" s="34">
        <f t="shared" si="9"/>
        <v>4.5656041046146312</v>
      </c>
      <c r="P7" s="34">
        <f t="shared" si="10"/>
        <v>4.5736041046146312</v>
      </c>
      <c r="Q7" s="34">
        <f t="shared" si="11"/>
        <v>4.5816041046146312</v>
      </c>
      <c r="R7" s="70"/>
      <c r="S7" s="51" t="s">
        <v>56</v>
      </c>
      <c r="T7" s="52">
        <f>SUM(T3:T5)</f>
        <v>1</v>
      </c>
      <c r="U7" s="52">
        <f>SUM(U3:U6)</f>
        <v>1</v>
      </c>
      <c r="V7" s="50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</row>
    <row r="8" spans="1:44" ht="13.5" x14ac:dyDescent="0.65">
      <c r="A8" s="31">
        <v>6</v>
      </c>
      <c r="B8" s="33">
        <v>7</v>
      </c>
      <c r="C8" s="36">
        <v>6</v>
      </c>
      <c r="D8" s="36">
        <v>5</v>
      </c>
      <c r="E8" s="31">
        <v>3.7435403713345239</v>
      </c>
      <c r="F8" s="32">
        <f t="shared" si="0"/>
        <v>5.3358850928336317</v>
      </c>
      <c r="G8" s="34">
        <f t="shared" si="1"/>
        <v>5.3358850928336317</v>
      </c>
      <c r="H8" s="34">
        <f t="shared" si="2"/>
        <v>5.3358850928336317</v>
      </c>
      <c r="I8" s="34">
        <f t="shared" si="3"/>
        <v>5.3358850928336317</v>
      </c>
      <c r="J8" s="34">
        <f t="shared" si="4"/>
        <v>5.3358850928336317</v>
      </c>
      <c r="K8" s="34">
        <f t="shared" si="5"/>
        <v>5.3358850928336317</v>
      </c>
      <c r="L8" s="34">
        <f t="shared" si="6"/>
        <v>5.3358850928336317</v>
      </c>
      <c r="M8" s="34">
        <f t="shared" si="7"/>
        <v>5.3358850928336317</v>
      </c>
      <c r="N8" s="34">
        <f t="shared" si="8"/>
        <v>5.3358850928336317</v>
      </c>
      <c r="O8" s="34">
        <f t="shared" si="9"/>
        <v>5.3358850928336317</v>
      </c>
      <c r="P8" s="34">
        <f t="shared" si="10"/>
        <v>5.3358850928336317</v>
      </c>
      <c r="Q8" s="34">
        <f t="shared" si="11"/>
        <v>5.3358850928336317</v>
      </c>
      <c r="R8" s="70" t="s">
        <v>80</v>
      </c>
      <c r="S8" s="47" t="s">
        <v>72</v>
      </c>
      <c r="T8" s="49">
        <f>T3*T$2</f>
        <v>0.2</v>
      </c>
      <c r="U8" s="53">
        <v>0.1</v>
      </c>
      <c r="V8" s="50" t="s">
        <v>75</v>
      </c>
      <c r="W8" s="54"/>
      <c r="X8" s="54">
        <f>$U8</f>
        <v>0.1</v>
      </c>
      <c r="Y8" s="54"/>
      <c r="Z8" s="54">
        <f t="shared" ref="Z8:AR8" si="13">$U8</f>
        <v>0.1</v>
      </c>
      <c r="AA8" s="54"/>
      <c r="AB8" s="54">
        <f t="shared" si="13"/>
        <v>0.1</v>
      </c>
      <c r="AC8" s="54"/>
      <c r="AD8" s="54">
        <f t="shared" si="13"/>
        <v>0.1</v>
      </c>
      <c r="AE8" s="54"/>
      <c r="AF8" s="54">
        <f t="shared" si="13"/>
        <v>0.1</v>
      </c>
      <c r="AG8" s="54"/>
      <c r="AH8" s="54">
        <f t="shared" si="13"/>
        <v>0.1</v>
      </c>
      <c r="AI8" s="54"/>
      <c r="AJ8" s="54">
        <f t="shared" si="13"/>
        <v>0.1</v>
      </c>
      <c r="AK8" s="54"/>
      <c r="AL8" s="54">
        <f t="shared" si="13"/>
        <v>0.1</v>
      </c>
      <c r="AM8" s="54"/>
      <c r="AN8" s="54">
        <f t="shared" si="13"/>
        <v>0.1</v>
      </c>
      <c r="AO8" s="54"/>
      <c r="AP8" s="54">
        <f t="shared" si="13"/>
        <v>0.1</v>
      </c>
      <c r="AQ8" s="54"/>
      <c r="AR8" s="54">
        <f t="shared" si="13"/>
        <v>0.1</v>
      </c>
    </row>
    <row r="9" spans="1:44" ht="15.5" x14ac:dyDescent="0.65">
      <c r="A9" s="31">
        <v>5</v>
      </c>
      <c r="B9" s="33">
        <v>5</v>
      </c>
      <c r="C9" s="36">
        <v>7</v>
      </c>
      <c r="D9" s="36">
        <v>5</v>
      </c>
      <c r="E9" s="31">
        <v>3.4597587072018889</v>
      </c>
      <c r="F9" s="32">
        <f t="shared" si="0"/>
        <v>4.7149396768004728</v>
      </c>
      <c r="G9" s="34">
        <f t="shared" si="1"/>
        <v>4.7949396768004728</v>
      </c>
      <c r="H9" s="34">
        <f t="shared" si="2"/>
        <v>4.7789396768004728</v>
      </c>
      <c r="I9" s="34">
        <f t="shared" si="3"/>
        <v>4.7629396768004728</v>
      </c>
      <c r="J9" s="34">
        <f t="shared" si="4"/>
        <v>4.7469396768004728</v>
      </c>
      <c r="K9" s="34">
        <f t="shared" si="5"/>
        <v>4.7309396768004728</v>
      </c>
      <c r="L9" s="34">
        <f t="shared" si="6"/>
        <v>4.7149396768004728</v>
      </c>
      <c r="M9" s="34">
        <f t="shared" si="7"/>
        <v>4.6989396768004728</v>
      </c>
      <c r="N9" s="34">
        <f t="shared" si="8"/>
        <v>4.6829396768004727</v>
      </c>
      <c r="O9" s="34">
        <f t="shared" si="9"/>
        <v>4.6669396768004727</v>
      </c>
      <c r="P9" s="34">
        <f t="shared" si="10"/>
        <v>4.6509396768004727</v>
      </c>
      <c r="Q9" s="34">
        <f t="shared" si="11"/>
        <v>4.6349396768004727</v>
      </c>
      <c r="R9" s="70"/>
      <c r="S9" s="47" t="s">
        <v>73</v>
      </c>
      <c r="T9" s="49">
        <f t="shared" ref="T9:T10" si="14">T4*T$2</f>
        <v>0.15600000000000003</v>
      </c>
      <c r="U9" s="53">
        <v>0.05</v>
      </c>
      <c r="V9" s="50" t="s">
        <v>81</v>
      </c>
      <c r="W9" s="54"/>
      <c r="X9" s="54">
        <f>$U9+X2-$U2</f>
        <v>8.9999999999999969E-2</v>
      </c>
      <c r="Y9" s="54"/>
      <c r="Z9" s="54">
        <f t="shared" ref="Z9:AR9" si="15">$U9+Z2-$U2</f>
        <v>8.1999999999999962E-2</v>
      </c>
      <c r="AA9" s="54"/>
      <c r="AB9" s="54">
        <f t="shared" si="15"/>
        <v>7.4000000000000066E-2</v>
      </c>
      <c r="AC9" s="54"/>
      <c r="AD9" s="54">
        <f t="shared" si="15"/>
        <v>6.6000000000000059E-2</v>
      </c>
      <c r="AE9" s="54"/>
      <c r="AF9" s="54">
        <f t="shared" si="15"/>
        <v>5.8000000000000052E-2</v>
      </c>
      <c r="AG9" s="54"/>
      <c r="AH9" s="54">
        <f t="shared" si="15"/>
        <v>5.0000000000000044E-2</v>
      </c>
      <c r="AI9" s="54"/>
      <c r="AJ9" s="54">
        <f t="shared" si="15"/>
        <v>4.2000000000000037E-2</v>
      </c>
      <c r="AK9" s="54"/>
      <c r="AL9" s="54">
        <f t="shared" si="15"/>
        <v>3.400000000000003E-2</v>
      </c>
      <c r="AM9" s="54"/>
      <c r="AN9" s="54">
        <f t="shared" si="15"/>
        <v>2.6000000000000023E-2</v>
      </c>
      <c r="AO9" s="54"/>
      <c r="AP9" s="54">
        <f t="shared" si="15"/>
        <v>1.8000000000000016E-2</v>
      </c>
      <c r="AQ9" s="54"/>
      <c r="AR9" s="54">
        <f t="shared" si="15"/>
        <v>1.0000000000000009E-2</v>
      </c>
    </row>
    <row r="10" spans="1:44" ht="13.5" x14ac:dyDescent="0.65">
      <c r="A10" s="31">
        <v>5</v>
      </c>
      <c r="B10" s="33">
        <v>5</v>
      </c>
      <c r="C10" s="36">
        <v>5</v>
      </c>
      <c r="D10" s="36">
        <v>5</v>
      </c>
      <c r="E10" s="31">
        <v>3.3991347126757616</v>
      </c>
      <c r="F10" s="32">
        <f t="shared" si="0"/>
        <v>4.5997836781689401</v>
      </c>
      <c r="G10" s="34">
        <f t="shared" si="1"/>
        <v>4.5997836781689401</v>
      </c>
      <c r="H10" s="34">
        <f t="shared" si="2"/>
        <v>4.5997836781689401</v>
      </c>
      <c r="I10" s="34">
        <f t="shared" si="3"/>
        <v>4.5997836781689401</v>
      </c>
      <c r="J10" s="34">
        <f t="shared" si="4"/>
        <v>4.5997836781689401</v>
      </c>
      <c r="K10" s="34">
        <f t="shared" si="5"/>
        <v>4.5997836781689401</v>
      </c>
      <c r="L10" s="34">
        <f t="shared" si="6"/>
        <v>4.5997836781689401</v>
      </c>
      <c r="M10" s="34">
        <f t="shared" si="7"/>
        <v>4.5997836781689401</v>
      </c>
      <c r="N10" s="34">
        <f t="shared" si="8"/>
        <v>4.5997836781689401</v>
      </c>
      <c r="O10" s="34">
        <f t="shared" si="9"/>
        <v>4.5997836781689401</v>
      </c>
      <c r="P10" s="34">
        <f t="shared" si="10"/>
        <v>4.5997836781689401</v>
      </c>
      <c r="Q10" s="34">
        <f t="shared" si="11"/>
        <v>4.5997836781689401</v>
      </c>
      <c r="R10" s="70"/>
      <c r="S10" s="47" t="s">
        <v>74</v>
      </c>
      <c r="T10" s="49">
        <f t="shared" si="14"/>
        <v>4.4000000000000004E-2</v>
      </c>
      <c r="U10" s="53">
        <v>0.2</v>
      </c>
      <c r="V10" s="50" t="s">
        <v>76</v>
      </c>
      <c r="W10" s="54"/>
      <c r="X10" s="54">
        <f>$U10</f>
        <v>0.2</v>
      </c>
      <c r="Y10" s="54"/>
      <c r="Z10" s="54">
        <f>$U10</f>
        <v>0.2</v>
      </c>
      <c r="AA10" s="54"/>
      <c r="AB10" s="54">
        <f>$U10</f>
        <v>0.2</v>
      </c>
      <c r="AC10" s="54"/>
      <c r="AD10" s="54">
        <f>$U10</f>
        <v>0.2</v>
      </c>
      <c r="AE10" s="54"/>
      <c r="AF10" s="54">
        <f>$U10</f>
        <v>0.2</v>
      </c>
      <c r="AG10" s="54"/>
      <c r="AH10" s="54">
        <f>$U10</f>
        <v>0.2</v>
      </c>
      <c r="AI10" s="54"/>
      <c r="AJ10" s="54">
        <f>$U10</f>
        <v>0.2</v>
      </c>
      <c r="AK10" s="54"/>
      <c r="AL10" s="54">
        <f>$U10</f>
        <v>0.2</v>
      </c>
      <c r="AM10" s="54"/>
      <c r="AN10" s="54">
        <f>$U10</f>
        <v>0.2</v>
      </c>
      <c r="AO10" s="54"/>
      <c r="AP10" s="54">
        <f>$U10</f>
        <v>0.2</v>
      </c>
      <c r="AQ10" s="54"/>
      <c r="AR10" s="54">
        <f>$U10</f>
        <v>0.2</v>
      </c>
    </row>
    <row r="11" spans="1:44" ht="13.5" x14ac:dyDescent="0.65">
      <c r="A11" s="31">
        <v>5</v>
      </c>
      <c r="B11" s="33">
        <v>5</v>
      </c>
      <c r="C11" s="36">
        <v>3</v>
      </c>
      <c r="D11" s="36">
        <v>5</v>
      </c>
      <c r="E11" s="31">
        <v>3.6517652073023465</v>
      </c>
      <c r="F11" s="32">
        <f t="shared" si="0"/>
        <v>4.5629413018255862</v>
      </c>
      <c r="G11" s="34">
        <f t="shared" si="1"/>
        <v>4.482941301825587</v>
      </c>
      <c r="H11" s="34">
        <f t="shared" si="2"/>
        <v>4.498941301825587</v>
      </c>
      <c r="I11" s="34">
        <f t="shared" si="3"/>
        <v>4.5149413018255871</v>
      </c>
      <c r="J11" s="34">
        <f t="shared" si="4"/>
        <v>4.5309413018255871</v>
      </c>
      <c r="K11" s="34">
        <f t="shared" si="5"/>
        <v>4.5469413018255871</v>
      </c>
      <c r="L11" s="34">
        <f t="shared" si="6"/>
        <v>4.5629413018255871</v>
      </c>
      <c r="M11" s="34">
        <f t="shared" si="7"/>
        <v>4.5789413018255871</v>
      </c>
      <c r="N11" s="34">
        <f t="shared" si="8"/>
        <v>4.5949413018255871</v>
      </c>
      <c r="O11" s="34">
        <f t="shared" si="9"/>
        <v>4.6109413018255871</v>
      </c>
      <c r="P11" s="34">
        <f t="shared" si="10"/>
        <v>4.6269413018255872</v>
      </c>
      <c r="Q11" s="34">
        <f t="shared" si="11"/>
        <v>4.6429413018255872</v>
      </c>
      <c r="R11" s="70"/>
      <c r="S11" s="47"/>
      <c r="T11" s="49"/>
      <c r="U11" s="53">
        <v>0.25</v>
      </c>
      <c r="V11" s="50" t="s">
        <v>77</v>
      </c>
      <c r="W11" s="54"/>
      <c r="X11" s="54">
        <f>$U11</f>
        <v>0.25</v>
      </c>
      <c r="Y11" s="54"/>
      <c r="Z11" s="54">
        <f>$U11</f>
        <v>0.25</v>
      </c>
      <c r="AA11" s="54"/>
      <c r="AB11" s="54">
        <f>$U11</f>
        <v>0.25</v>
      </c>
      <c r="AC11" s="54"/>
      <c r="AD11" s="54">
        <f>$U11</f>
        <v>0.25</v>
      </c>
      <c r="AE11" s="54"/>
      <c r="AF11" s="54">
        <f>$U11</f>
        <v>0.25</v>
      </c>
      <c r="AG11" s="54"/>
      <c r="AH11" s="54">
        <f>$U11</f>
        <v>0.25</v>
      </c>
      <c r="AI11" s="54"/>
      <c r="AJ11" s="54">
        <f>$U11</f>
        <v>0.25</v>
      </c>
      <c r="AK11" s="54"/>
      <c r="AL11" s="54">
        <f>$U11</f>
        <v>0.25</v>
      </c>
      <c r="AM11" s="54"/>
      <c r="AN11" s="54">
        <f>$U11</f>
        <v>0.25</v>
      </c>
      <c r="AO11" s="54"/>
      <c r="AP11" s="54">
        <f>$U11</f>
        <v>0.25</v>
      </c>
      <c r="AQ11" s="54"/>
      <c r="AR11" s="54">
        <f>$U11</f>
        <v>0.25</v>
      </c>
    </row>
    <row r="12" spans="1:44" ht="13.5" x14ac:dyDescent="0.65">
      <c r="A12" s="31">
        <v>5</v>
      </c>
      <c r="B12" s="33">
        <v>5</v>
      </c>
      <c r="C12" s="36">
        <v>3</v>
      </c>
      <c r="D12" s="36">
        <v>5</v>
      </c>
      <c r="E12" s="31">
        <v>3.9006711409395973</v>
      </c>
      <c r="F12" s="32">
        <f t="shared" si="0"/>
        <v>4.6251677852348996</v>
      </c>
      <c r="G12" s="34">
        <f t="shared" si="1"/>
        <v>4.5451677852348995</v>
      </c>
      <c r="H12" s="34">
        <f t="shared" si="2"/>
        <v>4.5611677852348995</v>
      </c>
      <c r="I12" s="34">
        <f t="shared" si="3"/>
        <v>4.5771677852348995</v>
      </c>
      <c r="J12" s="34">
        <f t="shared" si="4"/>
        <v>4.5931677852348995</v>
      </c>
      <c r="K12" s="34">
        <f t="shared" si="5"/>
        <v>4.6091677852348996</v>
      </c>
      <c r="L12" s="34">
        <f t="shared" si="6"/>
        <v>4.6251677852348996</v>
      </c>
      <c r="M12" s="34">
        <f t="shared" si="7"/>
        <v>4.6411677852348996</v>
      </c>
      <c r="N12" s="34">
        <f t="shared" si="8"/>
        <v>4.6571677852348996</v>
      </c>
      <c r="O12" s="34">
        <f t="shared" si="9"/>
        <v>4.6731677852348996</v>
      </c>
      <c r="P12" s="34">
        <f t="shared" si="10"/>
        <v>4.6891677852348996</v>
      </c>
      <c r="Q12" s="34">
        <f t="shared" si="11"/>
        <v>4.7051677852348996</v>
      </c>
      <c r="R12" s="70"/>
      <c r="S12" s="51" t="s">
        <v>56</v>
      </c>
      <c r="T12" s="52">
        <f>SUM(T8:T11)</f>
        <v>0.4</v>
      </c>
      <c r="U12" s="52">
        <f>SUM(U8:U11)</f>
        <v>0.60000000000000009</v>
      </c>
      <c r="V12" s="47"/>
      <c r="W12" s="54">
        <f>W2</f>
        <v>0.36000000000000004</v>
      </c>
      <c r="X12" s="54">
        <f>SUM(X8:X11)</f>
        <v>0.64</v>
      </c>
      <c r="Y12" s="54">
        <f>Y2</f>
        <v>0.36800000000000005</v>
      </c>
      <c r="Z12" s="54">
        <f>SUM(Z8:Z11)</f>
        <v>0.63200000000000001</v>
      </c>
      <c r="AA12" s="54">
        <f>AA2</f>
        <v>0.376</v>
      </c>
      <c r="AB12" s="54">
        <f>SUM(AB8:AB11)</f>
        <v>0.62400000000000011</v>
      </c>
      <c r="AC12" s="54">
        <f>AC2</f>
        <v>0.38400000000000001</v>
      </c>
      <c r="AD12" s="54">
        <f>SUM(AD8:AD11)</f>
        <v>0.6160000000000001</v>
      </c>
      <c r="AE12" s="54">
        <f>AE2</f>
        <v>0.39200000000000002</v>
      </c>
      <c r="AF12" s="54">
        <f>SUM(AF8:AF11)</f>
        <v>0.6080000000000001</v>
      </c>
      <c r="AG12" s="54">
        <f>AG2</f>
        <v>0.4</v>
      </c>
      <c r="AH12" s="54">
        <f>SUM(AH8:AH11)</f>
        <v>0.60000000000000009</v>
      </c>
      <c r="AI12" s="54">
        <f>AI2</f>
        <v>0.40800000000000003</v>
      </c>
      <c r="AJ12" s="54">
        <f>SUM(AJ8:AJ11)</f>
        <v>0.59200000000000008</v>
      </c>
      <c r="AK12" s="54">
        <f>AK2</f>
        <v>0.41600000000000004</v>
      </c>
      <c r="AL12" s="54">
        <f>SUM(AL8:AL11)</f>
        <v>0.58400000000000007</v>
      </c>
      <c r="AM12" s="54">
        <f>AM2</f>
        <v>0.42400000000000004</v>
      </c>
      <c r="AN12" s="54">
        <f>SUM(AN8:AN11)</f>
        <v>0.57600000000000007</v>
      </c>
      <c r="AO12" s="54">
        <f>AO2</f>
        <v>0.43200000000000005</v>
      </c>
      <c r="AP12" s="54">
        <f>SUM(AP8:AP11)</f>
        <v>0.56800000000000006</v>
      </c>
      <c r="AQ12" s="54">
        <f>AQ2</f>
        <v>0.44000000000000006</v>
      </c>
      <c r="AR12" s="54">
        <f>SUM(AR8:AR11)</f>
        <v>0.56000000000000005</v>
      </c>
    </row>
    <row r="13" spans="1:44" ht="13.25" x14ac:dyDescent="0.65">
      <c r="A13" s="31">
        <v>5</v>
      </c>
      <c r="B13" s="33">
        <v>5</v>
      </c>
      <c r="C13" s="36">
        <v>3</v>
      </c>
      <c r="D13" s="36">
        <v>5</v>
      </c>
      <c r="E13" s="31">
        <v>3.640671273445212</v>
      </c>
      <c r="F13" s="32">
        <f t="shared" si="0"/>
        <v>4.560167818361303</v>
      </c>
      <c r="G13" s="34">
        <f t="shared" si="1"/>
        <v>4.480167818361303</v>
      </c>
      <c r="H13" s="34">
        <f t="shared" si="2"/>
        <v>4.496167818361303</v>
      </c>
      <c r="I13" s="34">
        <f t="shared" si="3"/>
        <v>4.512167818361303</v>
      </c>
      <c r="J13" s="34">
        <f t="shared" si="4"/>
        <v>4.528167818361303</v>
      </c>
      <c r="K13" s="34">
        <f t="shared" si="5"/>
        <v>4.544167818361303</v>
      </c>
      <c r="L13" s="34">
        <f t="shared" si="6"/>
        <v>4.560167818361303</v>
      </c>
      <c r="M13" s="34">
        <f t="shared" si="7"/>
        <v>4.576167818361303</v>
      </c>
      <c r="N13" s="34">
        <f t="shared" si="8"/>
        <v>4.5921678183613031</v>
      </c>
      <c r="O13" s="34">
        <f t="shared" si="9"/>
        <v>4.6081678183613031</v>
      </c>
      <c r="P13" s="34">
        <f t="shared" si="10"/>
        <v>4.6241678183613031</v>
      </c>
      <c r="Q13" s="34">
        <f t="shared" si="11"/>
        <v>4.6401678183613031</v>
      </c>
    </row>
    <row r="14" spans="1:44" ht="13.25" x14ac:dyDescent="0.65">
      <c r="A14" s="31">
        <v>5</v>
      </c>
      <c r="B14" s="33">
        <v>5</v>
      </c>
      <c r="C14" s="36">
        <v>4</v>
      </c>
      <c r="D14" s="36">
        <v>5</v>
      </c>
      <c r="E14" s="31">
        <v>3.6233525682125811</v>
      </c>
      <c r="F14" s="32">
        <f t="shared" si="0"/>
        <v>4.6058381420531456</v>
      </c>
      <c r="G14" s="34">
        <f t="shared" si="1"/>
        <v>4.5658381420531455</v>
      </c>
      <c r="H14" s="34">
        <f t="shared" si="2"/>
        <v>4.5738381420531455</v>
      </c>
      <c r="I14" s="34">
        <f t="shared" si="3"/>
        <v>4.5818381420531455</v>
      </c>
      <c r="J14" s="34">
        <f t="shared" si="4"/>
        <v>4.5898381420531456</v>
      </c>
      <c r="K14" s="34">
        <f t="shared" si="5"/>
        <v>4.5978381420531456</v>
      </c>
      <c r="L14" s="34">
        <f t="shared" si="6"/>
        <v>4.6058381420531456</v>
      </c>
      <c r="M14" s="34">
        <f t="shared" si="7"/>
        <v>4.6138381420531456</v>
      </c>
      <c r="N14" s="34">
        <f t="shared" si="8"/>
        <v>4.6218381420531456</v>
      </c>
      <c r="O14" s="34">
        <f t="shared" si="9"/>
        <v>4.6298381420531456</v>
      </c>
      <c r="P14" s="34">
        <f t="shared" si="10"/>
        <v>4.6378381420531456</v>
      </c>
      <c r="Q14" s="34">
        <f t="shared" si="11"/>
        <v>4.6458381420531456</v>
      </c>
    </row>
    <row r="15" spans="1:44" ht="13.25" x14ac:dyDescent="0.65">
      <c r="A15" s="31">
        <v>5</v>
      </c>
      <c r="B15" s="33">
        <v>5</v>
      </c>
      <c r="C15" s="36">
        <v>3</v>
      </c>
      <c r="D15" s="36">
        <v>5</v>
      </c>
      <c r="E15" s="31">
        <v>3.4049306562634039</v>
      </c>
      <c r="F15" s="32">
        <f t="shared" si="0"/>
        <v>4.5012326640658511</v>
      </c>
      <c r="G15" s="34">
        <f t="shared" si="1"/>
        <v>4.421232664065851</v>
      </c>
      <c r="H15" s="34">
        <f t="shared" si="2"/>
        <v>4.437232664065851</v>
      </c>
      <c r="I15" s="34">
        <f t="shared" si="3"/>
        <v>4.4532326640658511</v>
      </c>
      <c r="J15" s="34">
        <f t="shared" si="4"/>
        <v>4.4692326640658511</v>
      </c>
      <c r="K15" s="34">
        <f t="shared" si="5"/>
        <v>4.4852326640658511</v>
      </c>
      <c r="L15" s="34">
        <f t="shared" si="6"/>
        <v>4.5012326640658511</v>
      </c>
      <c r="M15" s="34">
        <f t="shared" si="7"/>
        <v>4.5172326640658511</v>
      </c>
      <c r="N15" s="34">
        <f t="shared" si="8"/>
        <v>4.5332326640658511</v>
      </c>
      <c r="O15" s="34">
        <f t="shared" si="9"/>
        <v>4.5492326640658511</v>
      </c>
      <c r="P15" s="34">
        <f t="shared" si="10"/>
        <v>4.5652326640658512</v>
      </c>
      <c r="Q15" s="34">
        <f t="shared" si="11"/>
        <v>4.5812326640658512</v>
      </c>
    </row>
    <row r="16" spans="1:44" ht="13.25" x14ac:dyDescent="0.65">
      <c r="A16" s="31">
        <v>5</v>
      </c>
      <c r="B16" s="33">
        <v>7</v>
      </c>
      <c r="C16" s="36">
        <v>5</v>
      </c>
      <c r="D16" s="36">
        <v>5</v>
      </c>
      <c r="E16" s="31">
        <v>4.0167686631464994</v>
      </c>
      <c r="F16" s="32">
        <f t="shared" si="0"/>
        <v>4.9541921657866252</v>
      </c>
      <c r="G16" s="34">
        <f t="shared" si="1"/>
        <v>4.9541921657866252</v>
      </c>
      <c r="H16" s="34">
        <f t="shared" si="2"/>
        <v>4.9541921657866252</v>
      </c>
      <c r="I16" s="34">
        <f t="shared" si="3"/>
        <v>4.9541921657866252</v>
      </c>
      <c r="J16" s="34">
        <f t="shared" si="4"/>
        <v>4.9541921657866252</v>
      </c>
      <c r="K16" s="34">
        <f t="shared" si="5"/>
        <v>4.9541921657866252</v>
      </c>
      <c r="L16" s="34">
        <f t="shared" si="6"/>
        <v>4.9541921657866252</v>
      </c>
      <c r="M16" s="34">
        <f t="shared" si="7"/>
        <v>4.9541921657866252</v>
      </c>
      <c r="N16" s="34">
        <f t="shared" si="8"/>
        <v>4.9541921657866252</v>
      </c>
      <c r="O16" s="34">
        <f t="shared" si="9"/>
        <v>4.9541921657866252</v>
      </c>
      <c r="P16" s="34">
        <f t="shared" si="10"/>
        <v>4.9541921657866252</v>
      </c>
      <c r="Q16" s="34">
        <f t="shared" si="11"/>
        <v>4.9541921657866252</v>
      </c>
    </row>
    <row r="17" spans="1:21" ht="13.25" x14ac:dyDescent="0.65">
      <c r="A17" s="31">
        <v>5</v>
      </c>
      <c r="B17" s="33">
        <v>5</v>
      </c>
      <c r="C17" s="36">
        <v>3</v>
      </c>
      <c r="D17" s="36">
        <v>5</v>
      </c>
      <c r="E17" s="31">
        <v>3.3603577611079052</v>
      </c>
      <c r="F17" s="32">
        <f t="shared" si="0"/>
        <v>4.490089440276976</v>
      </c>
      <c r="G17" s="34">
        <f t="shared" si="1"/>
        <v>4.4100894402769768</v>
      </c>
      <c r="H17" s="34">
        <f t="shared" si="2"/>
        <v>4.4260894402769768</v>
      </c>
      <c r="I17" s="34">
        <f t="shared" si="3"/>
        <v>4.4420894402769768</v>
      </c>
      <c r="J17" s="34">
        <f t="shared" si="4"/>
        <v>4.4580894402769768</v>
      </c>
      <c r="K17" s="34">
        <f t="shared" si="5"/>
        <v>4.4740894402769769</v>
      </c>
      <c r="L17" s="34">
        <f t="shared" si="6"/>
        <v>4.4900894402769769</v>
      </c>
      <c r="M17" s="34">
        <f t="shared" si="7"/>
        <v>4.5060894402769769</v>
      </c>
      <c r="N17" s="34">
        <f t="shared" si="8"/>
        <v>4.5220894402769769</v>
      </c>
      <c r="O17" s="34">
        <f t="shared" si="9"/>
        <v>4.5380894402769769</v>
      </c>
      <c r="P17" s="34">
        <f t="shared" si="10"/>
        <v>4.5540894402769769</v>
      </c>
      <c r="Q17" s="34">
        <f t="shared" si="11"/>
        <v>4.5700894402769769</v>
      </c>
    </row>
    <row r="18" spans="1:21" ht="13.25" x14ac:dyDescent="0.65">
      <c r="A18" s="31">
        <v>5</v>
      </c>
      <c r="B18" s="33">
        <v>5</v>
      </c>
      <c r="C18" s="36">
        <v>4</v>
      </c>
      <c r="D18" s="36">
        <v>5</v>
      </c>
      <c r="E18" s="31">
        <v>3.1850056569869336</v>
      </c>
      <c r="F18" s="32">
        <f t="shared" si="0"/>
        <v>4.4962514142467338</v>
      </c>
      <c r="G18" s="34">
        <f t="shared" si="1"/>
        <v>4.4562514142467338</v>
      </c>
      <c r="H18" s="34">
        <f t="shared" si="2"/>
        <v>4.4642514142467338</v>
      </c>
      <c r="I18" s="34">
        <f t="shared" si="3"/>
        <v>4.4722514142467338</v>
      </c>
      <c r="J18" s="34">
        <f t="shared" si="4"/>
        <v>4.4802514142467338</v>
      </c>
      <c r="K18" s="34">
        <f t="shared" si="5"/>
        <v>4.4882514142467338</v>
      </c>
      <c r="L18" s="34">
        <f t="shared" si="6"/>
        <v>4.4962514142467338</v>
      </c>
      <c r="M18" s="34">
        <f t="shared" si="7"/>
        <v>4.5042514142467338</v>
      </c>
      <c r="N18" s="34">
        <f t="shared" si="8"/>
        <v>4.5122514142467338</v>
      </c>
      <c r="O18" s="34">
        <f t="shared" si="9"/>
        <v>4.5202514142467338</v>
      </c>
      <c r="P18" s="34">
        <f t="shared" si="10"/>
        <v>4.5282514142467338</v>
      </c>
      <c r="Q18" s="34">
        <f t="shared" si="11"/>
        <v>4.5362514142467338</v>
      </c>
    </row>
    <row r="19" spans="1:21" ht="14.5" x14ac:dyDescent="0.7">
      <c r="A19" s="31">
        <v>5</v>
      </c>
      <c r="B19" s="33">
        <v>5</v>
      </c>
      <c r="C19" s="36">
        <v>4</v>
      </c>
      <c r="D19" s="36">
        <v>5</v>
      </c>
      <c r="E19" s="31">
        <v>3.584759390375615</v>
      </c>
      <c r="F19" s="32">
        <f t="shared" si="0"/>
        <v>4.5961898475939043</v>
      </c>
      <c r="G19" s="34">
        <f t="shared" si="1"/>
        <v>4.5561898475939042</v>
      </c>
      <c r="H19" s="34">
        <f t="shared" si="2"/>
        <v>4.5641898475939042</v>
      </c>
      <c r="I19" s="34">
        <f t="shared" si="3"/>
        <v>4.5721898475939042</v>
      </c>
      <c r="J19" s="34">
        <f t="shared" si="4"/>
        <v>4.5801898475939042</v>
      </c>
      <c r="K19" s="34">
        <f t="shared" si="5"/>
        <v>4.5881898475939042</v>
      </c>
      <c r="L19" s="34">
        <f t="shared" si="6"/>
        <v>4.5961898475939043</v>
      </c>
      <c r="M19" s="34">
        <f t="shared" si="7"/>
        <v>4.6041898475939043</v>
      </c>
      <c r="N19" s="34">
        <f t="shared" si="8"/>
        <v>4.6121898475939043</v>
      </c>
      <c r="O19" s="34">
        <f t="shared" si="9"/>
        <v>4.6201898475939043</v>
      </c>
      <c r="P19" s="34">
        <f t="shared" si="10"/>
        <v>4.6281898475939043</v>
      </c>
      <c r="Q19" s="34">
        <f t="shared" si="11"/>
        <v>4.6361898475939043</v>
      </c>
      <c r="U19" s="46"/>
    </row>
    <row r="20" spans="1:21" ht="13.25" x14ac:dyDescent="0.65">
      <c r="A20" s="31">
        <v>5</v>
      </c>
      <c r="B20" s="33">
        <v>5</v>
      </c>
      <c r="C20" s="36">
        <v>4</v>
      </c>
      <c r="D20" s="36">
        <v>5</v>
      </c>
      <c r="E20" s="31">
        <v>3.5488622389067137</v>
      </c>
      <c r="F20" s="32">
        <f t="shared" si="0"/>
        <v>4.5872155597266788</v>
      </c>
      <c r="G20" s="34">
        <f t="shared" si="1"/>
        <v>4.5472155597266788</v>
      </c>
      <c r="H20" s="34">
        <f t="shared" si="2"/>
        <v>4.5552155597266788</v>
      </c>
      <c r="I20" s="34">
        <f t="shared" si="3"/>
        <v>4.5632155597266788</v>
      </c>
      <c r="J20" s="34">
        <f t="shared" si="4"/>
        <v>4.5712155597266788</v>
      </c>
      <c r="K20" s="34">
        <f t="shared" si="5"/>
        <v>4.5792155597266788</v>
      </c>
      <c r="L20" s="34">
        <f t="shared" si="6"/>
        <v>4.5872155597266788</v>
      </c>
      <c r="M20" s="34">
        <f t="shared" si="7"/>
        <v>4.5952155597266788</v>
      </c>
      <c r="N20" s="34">
        <f t="shared" si="8"/>
        <v>4.6032155597266788</v>
      </c>
      <c r="O20" s="34">
        <f t="shared" si="9"/>
        <v>4.6112155597266788</v>
      </c>
      <c r="P20" s="34">
        <f t="shared" si="10"/>
        <v>4.6192155597266789</v>
      </c>
      <c r="Q20" s="34">
        <f t="shared" si="11"/>
        <v>4.6272155597266789</v>
      </c>
    </row>
    <row r="21" spans="1:21" ht="13.25" x14ac:dyDescent="0.65">
      <c r="A21" s="31">
        <v>5</v>
      </c>
      <c r="B21" s="33">
        <v>5</v>
      </c>
      <c r="C21" s="36">
        <v>3</v>
      </c>
      <c r="D21" s="36">
        <v>5</v>
      </c>
      <c r="E21" s="31">
        <v>3.6608328643781656</v>
      </c>
      <c r="F21" s="32">
        <f t="shared" si="0"/>
        <v>4.5652082160945415</v>
      </c>
      <c r="G21" s="34">
        <f t="shared" si="1"/>
        <v>4.4852082160945415</v>
      </c>
      <c r="H21" s="34">
        <f t="shared" si="2"/>
        <v>4.5012082160945415</v>
      </c>
      <c r="I21" s="34">
        <f t="shared" si="3"/>
        <v>4.5172082160945415</v>
      </c>
      <c r="J21" s="34">
        <f t="shared" si="4"/>
        <v>4.5332082160945415</v>
      </c>
      <c r="K21" s="34">
        <f t="shared" si="5"/>
        <v>4.5492082160945415</v>
      </c>
      <c r="L21" s="34">
        <f t="shared" si="6"/>
        <v>4.5652082160945415</v>
      </c>
      <c r="M21" s="34">
        <f t="shared" si="7"/>
        <v>4.5812082160945415</v>
      </c>
      <c r="N21" s="34">
        <f t="shared" si="8"/>
        <v>4.5972082160945416</v>
      </c>
      <c r="O21" s="34">
        <f t="shared" si="9"/>
        <v>4.6132082160945416</v>
      </c>
      <c r="P21" s="34">
        <f t="shared" si="10"/>
        <v>4.6292082160945416</v>
      </c>
      <c r="Q21" s="34">
        <f t="shared" si="11"/>
        <v>4.6452082160945416</v>
      </c>
    </row>
    <row r="22" spans="1:21" ht="13.25" x14ac:dyDescent="0.65">
      <c r="A22" s="31">
        <v>5</v>
      </c>
      <c r="B22" s="33">
        <v>5</v>
      </c>
      <c r="C22" s="36">
        <v>5</v>
      </c>
      <c r="D22" s="36">
        <v>5</v>
      </c>
      <c r="E22" s="31">
        <v>3.3127630303810678</v>
      </c>
      <c r="F22" s="32">
        <f t="shared" si="0"/>
        <v>4.5781907575952667</v>
      </c>
      <c r="G22" s="34">
        <f t="shared" si="1"/>
        <v>4.5781907575952667</v>
      </c>
      <c r="H22" s="34">
        <f t="shared" si="2"/>
        <v>4.5781907575952667</v>
      </c>
      <c r="I22" s="34">
        <f t="shared" si="3"/>
        <v>4.5781907575952667</v>
      </c>
      <c r="J22" s="34">
        <f t="shared" si="4"/>
        <v>4.5781907575952667</v>
      </c>
      <c r="K22" s="34">
        <f t="shared" si="5"/>
        <v>4.5781907575952667</v>
      </c>
      <c r="L22" s="34">
        <f t="shared" si="6"/>
        <v>4.5781907575952667</v>
      </c>
      <c r="M22" s="34">
        <f t="shared" si="7"/>
        <v>4.5781907575952667</v>
      </c>
      <c r="N22" s="34">
        <f t="shared" si="8"/>
        <v>4.5781907575952667</v>
      </c>
      <c r="O22" s="34">
        <f t="shared" si="9"/>
        <v>4.5781907575952667</v>
      </c>
      <c r="P22" s="34">
        <f t="shared" si="10"/>
        <v>4.5781907575952667</v>
      </c>
      <c r="Q22" s="34">
        <f t="shared" si="11"/>
        <v>4.5781907575952667</v>
      </c>
    </row>
    <row r="23" spans="1:21" ht="13.25" x14ac:dyDescent="0.65">
      <c r="A23" s="31">
        <v>5</v>
      </c>
      <c r="B23" s="33">
        <v>7</v>
      </c>
      <c r="C23" s="36">
        <v>5</v>
      </c>
      <c r="D23" s="36">
        <v>5</v>
      </c>
      <c r="E23" s="31">
        <v>3.752719481375673</v>
      </c>
      <c r="F23" s="32">
        <f t="shared" si="0"/>
        <v>4.8881798703439188</v>
      </c>
      <c r="G23" s="34">
        <f t="shared" si="1"/>
        <v>4.8881798703439188</v>
      </c>
      <c r="H23" s="34">
        <f t="shared" si="2"/>
        <v>4.8881798703439188</v>
      </c>
      <c r="I23" s="34">
        <f t="shared" si="3"/>
        <v>4.8881798703439188</v>
      </c>
      <c r="J23" s="34">
        <f t="shared" si="4"/>
        <v>4.8881798703439188</v>
      </c>
      <c r="K23" s="34">
        <f t="shared" si="5"/>
        <v>4.8881798703439188</v>
      </c>
      <c r="L23" s="34">
        <f t="shared" si="6"/>
        <v>4.8881798703439188</v>
      </c>
      <c r="M23" s="34">
        <f t="shared" si="7"/>
        <v>4.8881798703439188</v>
      </c>
      <c r="N23" s="34">
        <f t="shared" si="8"/>
        <v>4.8881798703439188</v>
      </c>
      <c r="O23" s="34">
        <f t="shared" si="9"/>
        <v>4.8881798703439188</v>
      </c>
      <c r="P23" s="34">
        <f t="shared" si="10"/>
        <v>4.8881798703439188</v>
      </c>
      <c r="Q23" s="34">
        <f t="shared" si="11"/>
        <v>4.8881798703439188</v>
      </c>
    </row>
    <row r="24" spans="1:21" ht="13.25" x14ac:dyDescent="0.65">
      <c r="A24" s="31">
        <v>5</v>
      </c>
      <c r="B24" s="33">
        <v>5</v>
      </c>
      <c r="C24" s="36">
        <v>6</v>
      </c>
      <c r="D24" s="36">
        <v>7</v>
      </c>
      <c r="E24" s="31">
        <v>3.2580852947037209</v>
      </c>
      <c r="F24" s="32">
        <f t="shared" si="0"/>
        <v>5.0145213236759307</v>
      </c>
      <c r="G24" s="34">
        <f t="shared" si="1"/>
        <v>5.0545213236759308</v>
      </c>
      <c r="H24" s="34">
        <f t="shared" si="2"/>
        <v>5.0465213236759308</v>
      </c>
      <c r="I24" s="34">
        <f t="shared" si="3"/>
        <v>5.0385213236759308</v>
      </c>
      <c r="J24" s="34">
        <f t="shared" si="4"/>
        <v>5.0305213236759307</v>
      </c>
      <c r="K24" s="34">
        <f t="shared" si="5"/>
        <v>5.0225213236759307</v>
      </c>
      <c r="L24" s="34">
        <f t="shared" si="6"/>
        <v>5.0145213236759307</v>
      </c>
      <c r="M24" s="34">
        <f t="shared" si="7"/>
        <v>5.0065213236759307</v>
      </c>
      <c r="N24" s="34">
        <f t="shared" si="8"/>
        <v>4.9985213236759307</v>
      </c>
      <c r="O24" s="34">
        <f t="shared" si="9"/>
        <v>4.9905213236759307</v>
      </c>
      <c r="P24" s="34">
        <f t="shared" si="10"/>
        <v>4.9825213236759307</v>
      </c>
      <c r="Q24" s="34">
        <f t="shared" si="11"/>
        <v>4.9745213236759307</v>
      </c>
    </row>
    <row r="25" spans="1:21" ht="13.25" x14ac:dyDescent="0.65">
      <c r="A25" s="31">
        <v>5</v>
      </c>
      <c r="B25" s="33">
        <v>7</v>
      </c>
      <c r="C25" s="36">
        <v>6</v>
      </c>
      <c r="D25" s="36">
        <v>5</v>
      </c>
      <c r="E25" s="31">
        <v>3.3312819154530193</v>
      </c>
      <c r="F25" s="32">
        <f t="shared" si="0"/>
        <v>4.8328204788632547</v>
      </c>
      <c r="G25" s="34">
        <f t="shared" si="1"/>
        <v>4.8728204788632548</v>
      </c>
      <c r="H25" s="34">
        <f t="shared" si="2"/>
        <v>4.8648204788632547</v>
      </c>
      <c r="I25" s="34">
        <f t="shared" si="3"/>
        <v>4.8568204788632556</v>
      </c>
      <c r="J25" s="34">
        <f t="shared" si="4"/>
        <v>4.8488204788632547</v>
      </c>
      <c r="K25" s="34">
        <f t="shared" si="5"/>
        <v>4.8408204788632556</v>
      </c>
      <c r="L25" s="34">
        <f t="shared" si="6"/>
        <v>4.8328204788632547</v>
      </c>
      <c r="M25" s="34">
        <f t="shared" si="7"/>
        <v>4.8248204788632556</v>
      </c>
      <c r="N25" s="34">
        <f t="shared" si="8"/>
        <v>4.8168204788632556</v>
      </c>
      <c r="O25" s="34">
        <f t="shared" si="9"/>
        <v>4.8088204788632556</v>
      </c>
      <c r="P25" s="34">
        <f t="shared" si="10"/>
        <v>4.8008204788632556</v>
      </c>
      <c r="Q25" s="34">
        <f t="shared" si="11"/>
        <v>4.7928204788632556</v>
      </c>
    </row>
    <row r="26" spans="1:21" ht="13.25" x14ac:dyDescent="0.65">
      <c r="A26" s="31">
        <v>5</v>
      </c>
      <c r="B26" s="33">
        <v>5</v>
      </c>
      <c r="C26" s="36">
        <v>7</v>
      </c>
      <c r="D26" s="36">
        <v>5</v>
      </c>
      <c r="E26" s="31">
        <v>3.2922785447626968</v>
      </c>
      <c r="F26" s="32">
        <f t="shared" si="0"/>
        <v>4.6730696361906743</v>
      </c>
      <c r="G26" s="34">
        <f t="shared" si="1"/>
        <v>4.7530696361906744</v>
      </c>
      <c r="H26" s="34">
        <f t="shared" si="2"/>
        <v>4.7370696361906743</v>
      </c>
      <c r="I26" s="34">
        <f t="shared" si="3"/>
        <v>4.7210696361906752</v>
      </c>
      <c r="J26" s="34">
        <f t="shared" si="4"/>
        <v>4.7050696361906752</v>
      </c>
      <c r="K26" s="34">
        <f t="shared" si="5"/>
        <v>4.6890696361906752</v>
      </c>
      <c r="L26" s="34">
        <f t="shared" si="6"/>
        <v>4.6730696361906752</v>
      </c>
      <c r="M26" s="34">
        <f t="shared" si="7"/>
        <v>4.6570696361906752</v>
      </c>
      <c r="N26" s="34">
        <f t="shared" si="8"/>
        <v>4.6410696361906751</v>
      </c>
      <c r="O26" s="34">
        <f t="shared" si="9"/>
        <v>4.6250696361906751</v>
      </c>
      <c r="P26" s="34">
        <f t="shared" si="10"/>
        <v>4.6090696361906751</v>
      </c>
      <c r="Q26" s="34">
        <f t="shared" si="11"/>
        <v>4.5930696361906751</v>
      </c>
    </row>
    <row r="28" spans="1:21" x14ac:dyDescent="0.6">
      <c r="G28" s="13">
        <f>AVERAGE(G2:G27)</f>
        <v>4.6788595374205029</v>
      </c>
      <c r="H28" s="13">
        <f t="shared" ref="H28:Q28" si="16">AVERAGE(H2:H27)</f>
        <v>4.683339537420502</v>
      </c>
      <c r="I28" s="13">
        <f t="shared" si="16"/>
        <v>4.6878195374205021</v>
      </c>
      <c r="J28" s="13">
        <f t="shared" si="16"/>
        <v>4.6922995374205012</v>
      </c>
      <c r="K28" s="13">
        <f t="shared" si="16"/>
        <v>4.696779537420503</v>
      </c>
      <c r="L28" s="13">
        <f t="shared" si="16"/>
        <v>4.7012595374205013</v>
      </c>
      <c r="M28" s="13">
        <f t="shared" si="16"/>
        <v>4.7057395374205022</v>
      </c>
      <c r="N28" s="13">
        <f t="shared" si="16"/>
        <v>4.7102195374205023</v>
      </c>
      <c r="O28" s="13">
        <f t="shared" si="16"/>
        <v>4.7146995374205023</v>
      </c>
      <c r="P28" s="13">
        <f t="shared" si="16"/>
        <v>4.7191795374205023</v>
      </c>
      <c r="Q28" s="13">
        <f t="shared" si="16"/>
        <v>4.7236595374205024</v>
      </c>
    </row>
  </sheetData>
  <mergeCells count="14">
    <mergeCell ref="R3:R7"/>
    <mergeCell ref="R8:R12"/>
    <mergeCell ref="AG1:AH1"/>
    <mergeCell ref="AI1:AJ1"/>
    <mergeCell ref="AK1:AL1"/>
    <mergeCell ref="AM1:AN1"/>
    <mergeCell ref="AO1:AP1"/>
    <mergeCell ref="AQ1:AR1"/>
    <mergeCell ref="R1:S2"/>
    <mergeCell ref="W1:X1"/>
    <mergeCell ref="Y1:Z1"/>
    <mergeCell ref="AA1:AB1"/>
    <mergeCell ref="AC1:AD1"/>
    <mergeCell ref="AE1:AF1"/>
  </mergeCells>
  <conditionalFormatting sqref="G2:Q2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13</vt:i4>
      </vt:variant>
    </vt:vector>
  </HeadingPairs>
  <TitlesOfParts>
    <vt:vector size="13" baseType="lpstr">
      <vt:lpstr>CUP</vt:lpstr>
      <vt:lpstr>Recharge_Springs</vt:lpstr>
      <vt:lpstr>Q710</vt:lpstr>
      <vt:lpstr>SOC</vt:lpstr>
      <vt:lpstr>LULC_Biodiversity</vt:lpstr>
      <vt:lpstr>ES</vt:lpstr>
      <vt:lpstr>MEAN ANALYSIS</vt:lpstr>
      <vt:lpstr>Sensitivity Analysis_Recharge</vt:lpstr>
      <vt:lpstr>Sensitivity Analysis_Q7_10</vt:lpstr>
      <vt:lpstr>Sensitivity Analysis_SOC</vt:lpstr>
      <vt:lpstr>Sensitivity Analysis_Land Use</vt:lpstr>
      <vt:lpstr>Sensitivity_Analysis_Summary</vt:lpstr>
      <vt:lpstr>Sensitivity Analysis_Transposed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Pissarra</dc:creator>
  <cp:lastModifiedBy>Fernando António Leal Pacheco</cp:lastModifiedBy>
  <dcterms:created xsi:type="dcterms:W3CDTF">2026-01-26T16:08:07Z</dcterms:created>
  <dcterms:modified xsi:type="dcterms:W3CDTF">2026-04-21T12:28:10Z</dcterms:modified>
</cp:coreProperties>
</file>